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1145" activeTab="0"/>
  </bookViews>
  <sheets>
    <sheet name="まとめ" sheetId="1" r:id="rId1"/>
    <sheet name="洪水1-1" sheetId="2" r:id="rId2"/>
    <sheet name="洪水1-2" sheetId="3" r:id="rId3"/>
    <sheet name="洪水1-3" sheetId="4" r:id="rId4"/>
    <sheet name="土石流時1-1" sheetId="5" r:id="rId5"/>
    <sheet name="土石流時1-2" sheetId="6" r:id="rId6"/>
    <sheet name="土石流時1-3" sheetId="7" r:id="rId7"/>
    <sheet name="土石流時2-1" sheetId="8" r:id="rId8"/>
    <sheet name="土石流時2-2" sheetId="9" r:id="rId9"/>
    <sheet name="土石流時2-3" sheetId="10" r:id="rId10"/>
    <sheet name="土石流時3-1" sheetId="11" r:id="rId11"/>
    <sheet name="土石流時3-2" sheetId="12" r:id="rId12"/>
    <sheet name="土石流時3-3" sheetId="13" r:id="rId13"/>
    <sheet name="土石流時4-1" sheetId="14" r:id="rId14"/>
    <sheet name="土石流時4-2" sheetId="15" r:id="rId15"/>
    <sheet name="土石流時4-3" sheetId="16" r:id="rId16"/>
  </sheets>
  <definedNames/>
  <calcPr fullCalcOnLoad="1" fullPrecision="0"/>
</workbook>
</file>

<file path=xl/sharedStrings.xml><?xml version="1.0" encoding="utf-8"?>
<sst xmlns="http://schemas.openxmlformats.org/spreadsheetml/2006/main" count="1447" uniqueCount="338">
  <si>
    <t>土石流</t>
  </si>
  <si>
    <t>滑動</t>
  </si>
  <si>
    <t>転倒</t>
  </si>
  <si>
    <t>支持力</t>
  </si>
  <si>
    <t>評価</t>
  </si>
  <si>
    <t>項目</t>
  </si>
  <si>
    <t>=</t>
  </si>
  <si>
    <t>a) 形状寸法</t>
  </si>
  <si>
    <t>摩擦係数</t>
  </si>
  <si>
    <t>計算結果</t>
  </si>
  <si>
    <t>＝</t>
  </si>
  <si>
    <t>m</t>
  </si>
  <si>
    <t>≦</t>
  </si>
  <si>
    <t xml:space="preserve">e ＝ </t>
  </si>
  <si>
    <t>－</t>
  </si>
  <si>
    <t xml:space="preserve">e :  </t>
  </si>
  <si>
    <t>・（</t>
  </si>
  <si>
    <t>＋</t>
  </si>
  <si>
    <t>・</t>
  </si>
  <si>
    <t>e</t>
  </si>
  <si>
    <t>）</t>
  </si>
  <si>
    <t>）＝</t>
  </si>
  <si>
    <t>設計荷重</t>
  </si>
  <si>
    <t>記号</t>
  </si>
  <si>
    <t>計算式</t>
  </si>
  <si>
    <t>鉛直力</t>
  </si>
  <si>
    <t>水平力</t>
  </si>
  <si>
    <t>堤底の上流端から作用線までの距離 (L)</t>
  </si>
  <si>
    <t>堤体の自重</t>
  </si>
  <si>
    <t>W</t>
  </si>
  <si>
    <t>W1</t>
  </si>
  <si>
    <t>×</t>
  </si>
  <si>
    <t>W2</t>
  </si>
  <si>
    <t>W3</t>
  </si>
  <si>
    <t>静水圧</t>
  </si>
  <si>
    <t>P</t>
  </si>
  <si>
    <t>PV1</t>
  </si>
  <si>
    <t>PV2</t>
  </si>
  <si>
    <t>×(</t>
  </si>
  <si>
    <t>)</t>
  </si>
  <si>
    <t>PH1</t>
  </si>
  <si>
    <t>PH2</t>
  </si>
  <si>
    <t>kN/m</t>
  </si>
  <si>
    <t>合　計</t>
  </si>
  <si>
    <t>(V)</t>
  </si>
  <si>
    <t>(H)</t>
  </si>
  <si>
    <t>M=V･L+H･L</t>
  </si>
  <si>
    <t>：</t>
  </si>
  <si>
    <t>：</t>
  </si>
  <si>
    <t>：</t>
  </si>
  <si>
    <t>：</t>
  </si>
  <si>
    <t>　　　　　　基礎地盤の土質</t>
  </si>
  <si>
    <t>堆砂圧</t>
  </si>
  <si>
    <t>Pe</t>
  </si>
  <si>
    <t>PeV1</t>
  </si>
  <si>
    <t>PeH1</t>
  </si>
  <si>
    <t>PeH2</t>
  </si>
  <si>
    <t>土石流の重さ</t>
  </si>
  <si>
    <t>Pd</t>
  </si>
  <si>
    <t>)+</t>
  </si>
  <si>
    <t>土石流流体力</t>
  </si>
  <si>
    <t>F</t>
  </si>
  <si>
    <t>(</t>
  </si>
  <si>
    <t>Pd1</t>
  </si>
  <si>
    <t>Pd2</t>
  </si>
  <si>
    <t>　W3</t>
  </si>
  <si>
    <t>W1　</t>
  </si>
  <si>
    <t>　b3=</t>
  </si>
  <si>
    <t>　b1=</t>
  </si>
  <si>
    <t>　b4=</t>
  </si>
  <si>
    <t>Pev1</t>
  </si>
  <si>
    <t>Pv1</t>
  </si>
  <si>
    <t>モーメント</t>
  </si>
  <si>
    <t>×(</t>
  </si>
  <si>
    <t>kN･m/m</t>
  </si>
  <si>
    <t>b)</t>
  </si>
  <si>
    <t>：</t>
  </si>
  <si>
    <t>2)</t>
  </si>
  <si>
    <t>4)</t>
  </si>
  <si>
    <t>堤底幅 (m)</t>
  </si>
  <si>
    <r>
      <t>堤体内に生ずる応力(kN/m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</si>
  <si>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>地盤の受ける応力(kN/m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</si>
  <si>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▽</t>
  </si>
  <si>
    <t>≡</t>
  </si>
  <si>
    <r>
      <t>kN/m</t>
    </r>
    <r>
      <rPr>
        <vertAlign val="superscript"/>
        <sz val="10"/>
        <rFont val="ＭＳ 明朝"/>
        <family val="1"/>
      </rPr>
      <t>2</t>
    </r>
  </si>
  <si>
    <t>転倒に対する安定</t>
  </si>
  <si>
    <r>
      <t>kN/m</t>
    </r>
    <r>
      <rPr>
        <vertAlign val="superscript"/>
        <sz val="10"/>
        <rFont val="ＭＳ 明朝"/>
        <family val="1"/>
      </rPr>
      <t>3</t>
    </r>
  </si>
  <si>
    <r>
      <t>kN/m</t>
    </r>
    <r>
      <rPr>
        <vertAlign val="superscript"/>
        <sz val="10"/>
        <rFont val="ＭＳ 明朝"/>
        <family val="1"/>
      </rPr>
      <t>3</t>
    </r>
  </si>
  <si>
    <t>　　　 γd：土石流の単位体積重量</t>
  </si>
  <si>
    <t>　1) 安定計算のまとめ</t>
  </si>
  <si>
    <t>▽</t>
  </si>
  <si>
    <t>H.W.L</t>
  </si>
  <si>
    <t>≡</t>
  </si>
  <si>
    <t>PV2</t>
  </si>
  <si>
    <t>h3=</t>
  </si>
  <si>
    <t>H=</t>
  </si>
  <si>
    <t>W2</t>
  </si>
  <si>
    <t>PV1　</t>
  </si>
  <si>
    <t>PH2</t>
  </si>
  <si>
    <t>PH1</t>
  </si>
  <si>
    <t>　b2=</t>
  </si>
  <si>
    <r>
      <t>kN/m</t>
    </r>
    <r>
      <rPr>
        <vertAlign val="superscript"/>
        <sz val="10"/>
        <rFont val="ＭＳ 明朝"/>
        <family val="1"/>
      </rPr>
      <t>3</t>
    </r>
  </si>
  <si>
    <r>
      <t>kN/m</t>
    </r>
    <r>
      <rPr>
        <vertAlign val="superscript"/>
        <sz val="10"/>
        <rFont val="ＭＳ 明朝"/>
        <family val="1"/>
      </rPr>
      <t>3</t>
    </r>
  </si>
  <si>
    <t>：</t>
  </si>
  <si>
    <r>
      <t>kN/m</t>
    </r>
    <r>
      <rPr>
        <vertAlign val="superscript"/>
        <sz val="10"/>
        <rFont val="ＭＳ 明朝"/>
        <family val="1"/>
      </rPr>
      <t>2</t>
    </r>
  </si>
  <si>
    <r>
      <t>kN/m</t>
    </r>
    <r>
      <rPr>
        <vertAlign val="superscript"/>
        <sz val="10"/>
        <rFont val="ＭＳ 明朝"/>
        <family val="1"/>
      </rPr>
      <t>2</t>
    </r>
  </si>
  <si>
    <t>：</t>
  </si>
  <si>
    <r>
      <t>kN/m</t>
    </r>
    <r>
      <rPr>
        <vertAlign val="superscript"/>
        <sz val="10"/>
        <rFont val="ＭＳ 明朝"/>
        <family val="1"/>
      </rPr>
      <t>2</t>
    </r>
  </si>
  <si>
    <t>Pd2</t>
  </si>
  <si>
    <t>Pd1</t>
  </si>
  <si>
    <t>hd=</t>
  </si>
  <si>
    <t xml:space="preserve">PH2  </t>
  </si>
  <si>
    <t xml:space="preserve">PeH2  </t>
  </si>
  <si>
    <t>H-hd=</t>
  </si>
  <si>
    <t>PeH1</t>
  </si>
  <si>
    <t>m/s</t>
  </si>
  <si>
    <r>
      <t>kN/m</t>
    </r>
    <r>
      <rPr>
        <vertAlign val="superscript"/>
        <sz val="10"/>
        <rFont val="ＭＳ 明朝"/>
        <family val="1"/>
      </rPr>
      <t>3</t>
    </r>
  </si>
  <si>
    <t>　　　  Ce：土圧係数</t>
  </si>
  <si>
    <t>　　　　ｆ：摩擦係数</t>
  </si>
  <si>
    <t>　　　　ｇ：重力加速度</t>
  </si>
  <si>
    <r>
      <t>m/s</t>
    </r>
    <r>
      <rPr>
        <vertAlign val="superscript"/>
        <sz val="10"/>
        <rFont val="ＭＳ 明朝"/>
        <family val="1"/>
      </rPr>
      <t>2</t>
    </r>
  </si>
  <si>
    <r>
      <t>kN/m</t>
    </r>
    <r>
      <rPr>
        <vertAlign val="superscript"/>
        <sz val="10"/>
        <rFont val="ＭＳ 明朝"/>
        <family val="1"/>
      </rPr>
      <t>2</t>
    </r>
  </si>
  <si>
    <t>≦</t>
  </si>
  <si>
    <t>e) 堰堤堤体及び基礎地盤の破壊に対する安定計算</t>
  </si>
  <si>
    <t>堰堤堤体及び基礎地盤の破壊に対する安定</t>
  </si>
  <si>
    <t>砂防堰堤単位当り断面に作用する力 （土石流時）</t>
  </si>
  <si>
    <t>砂防堰堤単位当り断面に作用する力 （洪水位）</t>
  </si>
  <si>
    <t>3)</t>
  </si>
  <si>
    <t>採用断面</t>
  </si>
  <si>
    <t>軟岩(Ⅰ)</t>
  </si>
  <si>
    <t>c) 転倒に対する安定計算</t>
  </si>
  <si>
    <t xml:space="preserve"> x ＝ </t>
  </si>
  <si>
    <t>M</t>
  </si>
  <si>
    <t>V</t>
  </si>
  <si>
    <t>≦</t>
  </si>
  <si>
    <t>X</t>
  </si>
  <si>
    <t>X</t>
  </si>
  <si>
    <t>b2</t>
  </si>
  <si>
    <t>b2</t>
  </si>
  <si>
    <t xml:space="preserve">x :  </t>
  </si>
  <si>
    <t>荷重の合力作用線と堤底との交点から堤底の上流端までの距離 (m)</t>
  </si>
  <si>
    <t xml:space="preserve"> b2 :  </t>
  </si>
  <si>
    <t xml:space="preserve">M :  </t>
  </si>
  <si>
    <t>モーメントの合計 (kN/m)</t>
  </si>
  <si>
    <t xml:space="preserve">V :  </t>
  </si>
  <si>
    <t>鉛直力の合計 (kN/m)</t>
  </si>
  <si>
    <t>d) 滑動に対する安定計算</t>
  </si>
  <si>
    <t>=</t>
  </si>
  <si>
    <t>f</t>
  </si>
  <si>
    <t>・</t>
  </si>
  <si>
    <t>V</t>
  </si>
  <si>
    <t>+</t>
  </si>
  <si>
    <t>τo</t>
  </si>
  <si>
    <t>L</t>
  </si>
  <si>
    <t>H</t>
  </si>
  <si>
    <t>・</t>
  </si>
  <si>
    <t>+</t>
  </si>
  <si>
    <t>・</t>
  </si>
  <si>
    <t>=</t>
  </si>
  <si>
    <t xml:space="preserve">n :  </t>
  </si>
  <si>
    <t>安全率</t>
  </si>
  <si>
    <t xml:space="preserve">f :  </t>
  </si>
  <si>
    <t xml:space="preserve">V :  </t>
  </si>
  <si>
    <t xml:space="preserve">H :  </t>
  </si>
  <si>
    <t>水平力の合計 (kN/m)</t>
  </si>
  <si>
    <t xml:space="preserve">τo :  </t>
  </si>
  <si>
    <t>せん断応力度(基礎地盤せん断応力度とコンクリートせん断応力度を比べ</t>
  </si>
  <si>
    <r>
      <t>小さい値。ただし、砂礫地盤ではせん断応力度を無視する。)(kN/m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</si>
  <si>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 xml:space="preserve">L :  </t>
  </si>
  <si>
    <t>せん断抵抗を期待できる長さ (=堤底幅b2)(m)</t>
  </si>
  <si>
    <t>x</t>
  </si>
  <si>
    <t>b2</t>
  </si>
  <si>
    <t>σu ＝　</t>
  </si>
  <si>
    <t>V</t>
  </si>
  <si>
    <t>-</t>
  </si>
  <si>
    <t>＝　</t>
  </si>
  <si>
    <r>
      <t>kN/m</t>
    </r>
    <r>
      <rPr>
        <vertAlign val="superscript"/>
        <sz val="10"/>
        <rFont val="ＭＳ 明朝"/>
        <family val="1"/>
      </rPr>
      <t>2</t>
    </r>
  </si>
  <si>
    <r>
      <t>kN/m</t>
    </r>
    <r>
      <rPr>
        <vertAlign val="superscript"/>
        <sz val="10"/>
        <rFont val="ＭＳ 明朝"/>
        <family val="1"/>
      </rPr>
      <t>2</t>
    </r>
  </si>
  <si>
    <t>σd ＝　</t>
  </si>
  <si>
    <t xml:space="preserve">σu  :  </t>
  </si>
  <si>
    <t xml:space="preserve">σu  :  </t>
  </si>
  <si>
    <r>
      <t>上流端応力 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</si>
  <si>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 xml:space="preserve">σd  :  </t>
  </si>
  <si>
    <t xml:space="preserve">σd  :  </t>
  </si>
  <si>
    <r>
      <t>下流端応力 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</si>
  <si>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荷重の合力作用線と堤底との交点から堤底中央までの距離 (m)</t>
  </si>
  <si>
    <t>σmax</t>
  </si>
  <si>
    <t>σmax</t>
  </si>
  <si>
    <t>=</t>
  </si>
  <si>
    <t xml:space="preserve">δa = </t>
  </si>
  <si>
    <t>基礎地盤</t>
  </si>
  <si>
    <t xml:space="preserve">σa = </t>
  </si>
  <si>
    <t>堤体内部破壊</t>
  </si>
  <si>
    <t>σmin</t>
  </si>
  <si>
    <t>σmin</t>
  </si>
  <si>
    <r>
      <t>kN/m</t>
    </r>
    <r>
      <rPr>
        <vertAlign val="superscript"/>
        <sz val="10"/>
        <rFont val="ＭＳ 明朝"/>
        <family val="1"/>
      </rPr>
      <t>2</t>
    </r>
  </si>
  <si>
    <t>転倒に対する安定</t>
  </si>
  <si>
    <t>滑動に対する安定</t>
  </si>
  <si>
    <t>安全率</t>
  </si>
  <si>
    <t>　　 　δa：地盤の許容支持力</t>
  </si>
  <si>
    <t>　　　　 U：土石流の流速</t>
  </si>
  <si>
    <t>　　　　 N：滑動に対する安全率</t>
  </si>
  <si>
    <t>　　    Wc：コンクリート単位体積重量</t>
  </si>
  <si>
    <t>　　　  Wo：水の単位体積重量</t>
  </si>
  <si>
    <t>　 　　τo：岩盤せん断強度</t>
  </si>
  <si>
    <t>　　　τoc：コンクリートせん断強度</t>
  </si>
  <si>
    <t>　　　 σa：コンクリート圧縮応力</t>
  </si>
  <si>
    <t>　　   γs：堆砂の水中単位体積重量</t>
  </si>
  <si>
    <t>　　　 γf：土石流中の土砂の単位体積重量</t>
  </si>
  <si>
    <t>γf= γd - Wo</t>
  </si>
  <si>
    <t>　　Wc：コンクリートの単位体積重量</t>
  </si>
  <si>
    <t>　　Wo：流水の単位体積重量</t>
  </si>
  <si>
    <t>　　　　基礎地盤の土質</t>
  </si>
  <si>
    <t>　 δa：地盤の許容支持力</t>
  </si>
  <si>
    <t>　 　N：滑動に対する安全率</t>
  </si>
  <si>
    <t>　 　f：摩擦係数</t>
  </si>
  <si>
    <t>　 τo：岩盤せん断強度</t>
  </si>
  <si>
    <t>　τoc：コンクリートせん断強度</t>
  </si>
  <si>
    <t>　 σa：コンクリート圧縮応力</t>
  </si>
  <si>
    <t>滑動に対する安定</t>
  </si>
  <si>
    <t>安全率</t>
  </si>
  <si>
    <t>▽</t>
  </si>
  <si>
    <t>H.W.L</t>
  </si>
  <si>
    <t>H2=</t>
  </si>
  <si>
    <t>W4</t>
  </si>
  <si>
    <t>≡</t>
  </si>
  <si>
    <t>Pd1</t>
  </si>
  <si>
    <t>hd=</t>
  </si>
  <si>
    <t>Pev1</t>
  </si>
  <si>
    <t>W2</t>
  </si>
  <si>
    <t>H1=</t>
  </si>
  <si>
    <t>Pv1</t>
  </si>
  <si>
    <t xml:space="preserve">PH2  </t>
  </si>
  <si>
    <t xml:space="preserve">PeH2  </t>
  </si>
  <si>
    <t>H3=</t>
  </si>
  <si>
    <t>　W3</t>
  </si>
  <si>
    <t>W1　</t>
  </si>
  <si>
    <t>PH1</t>
  </si>
  <si>
    <t>PeH1</t>
  </si>
  <si>
    <t>　b3=</t>
  </si>
  <si>
    <t>　b1=</t>
  </si>
  <si>
    <t>　b4=</t>
  </si>
  <si>
    <t>　b2=</t>
  </si>
  <si>
    <r>
      <t>kN/m</t>
    </r>
    <r>
      <rPr>
        <vertAlign val="superscript"/>
        <sz val="10"/>
        <rFont val="ＭＳ 明朝"/>
        <family val="1"/>
      </rPr>
      <t>2</t>
    </r>
  </si>
  <si>
    <t>m/s</t>
  </si>
  <si>
    <r>
      <t>kN/m</t>
    </r>
    <r>
      <rPr>
        <vertAlign val="superscript"/>
        <sz val="10"/>
        <rFont val="ＭＳ 明朝"/>
        <family val="1"/>
      </rPr>
      <t>3</t>
    </r>
  </si>
  <si>
    <r>
      <t>kN/m</t>
    </r>
    <r>
      <rPr>
        <vertAlign val="superscript"/>
        <sz val="10"/>
        <rFont val="ＭＳ 明朝"/>
        <family val="1"/>
      </rPr>
      <t>3</t>
    </r>
  </si>
  <si>
    <r>
      <t>m/s</t>
    </r>
    <r>
      <rPr>
        <vertAlign val="superscript"/>
        <sz val="10"/>
        <rFont val="ＭＳ 明朝"/>
        <family val="1"/>
      </rPr>
      <t>2</t>
    </r>
  </si>
  <si>
    <t>滑動に対する安定</t>
  </si>
  <si>
    <t>安全率</t>
  </si>
  <si>
    <t>b)</t>
  </si>
  <si>
    <t>砂防堰堤単位当り断面に作用する力 （土石流時）</t>
  </si>
  <si>
    <t>設計荷重</t>
  </si>
  <si>
    <t>記号</t>
  </si>
  <si>
    <t>計算式</t>
  </si>
  <si>
    <t>堤底の上流端から作用線までの距離 (L)</t>
  </si>
  <si>
    <t>モーメント</t>
  </si>
  <si>
    <t>(V)</t>
  </si>
  <si>
    <t>(H)</t>
  </si>
  <si>
    <t>M=V･L+H･L</t>
  </si>
  <si>
    <t>W4</t>
  </si>
  <si>
    <t>×</t>
  </si>
  <si>
    <t>×</t>
  </si>
  <si>
    <t>×</t>
  </si>
  <si>
    <t>×</t>
  </si>
  <si>
    <t>×</t>
  </si>
  <si>
    <t>×</t>
  </si>
  <si>
    <t>×</t>
  </si>
  <si>
    <t>×</t>
  </si>
  <si>
    <t>Pd1</t>
  </si>
  <si>
    <t>×</t>
  </si>
  <si>
    <t>×</t>
  </si>
  <si>
    <t>+</t>
  </si>
  <si>
    <t>c) 転倒に対する安定計算</t>
  </si>
  <si>
    <t xml:space="preserve"> x ＝ </t>
  </si>
  <si>
    <t>M</t>
  </si>
  <si>
    <t>V</t>
  </si>
  <si>
    <t xml:space="preserve">x :  </t>
  </si>
  <si>
    <t xml:space="preserve"> b2 :  </t>
  </si>
  <si>
    <t xml:space="preserve">M :  </t>
  </si>
  <si>
    <t xml:space="preserve">V :  </t>
  </si>
  <si>
    <t>d) 滑動に対する安定計算</t>
  </si>
  <si>
    <t>=</t>
  </si>
  <si>
    <t>f</t>
  </si>
  <si>
    <t>・</t>
  </si>
  <si>
    <t>V</t>
  </si>
  <si>
    <t>+</t>
  </si>
  <si>
    <t>τo</t>
  </si>
  <si>
    <t>L</t>
  </si>
  <si>
    <t>H</t>
  </si>
  <si>
    <t>・</t>
  </si>
  <si>
    <t>・</t>
  </si>
  <si>
    <t>=</t>
  </si>
  <si>
    <t xml:space="preserve">n :  </t>
  </si>
  <si>
    <t>安全率</t>
  </si>
  <si>
    <t xml:space="preserve">f :  </t>
  </si>
  <si>
    <t xml:space="preserve">V :  </t>
  </si>
  <si>
    <t xml:space="preserve">H :  </t>
  </si>
  <si>
    <t xml:space="preserve">τo :  </t>
  </si>
  <si>
    <t xml:space="preserve">L :  </t>
  </si>
  <si>
    <t>x</t>
  </si>
  <si>
    <t>b2</t>
  </si>
  <si>
    <t>σu ＝　</t>
  </si>
  <si>
    <t>-</t>
  </si>
  <si>
    <t>b2</t>
  </si>
  <si>
    <t>＝　</t>
  </si>
  <si>
    <t>-</t>
  </si>
  <si>
    <r>
      <t>kN/m</t>
    </r>
    <r>
      <rPr>
        <vertAlign val="superscript"/>
        <sz val="10"/>
        <rFont val="ＭＳ 明朝"/>
        <family val="1"/>
      </rPr>
      <t>2</t>
    </r>
  </si>
  <si>
    <t>σd ＝　</t>
  </si>
  <si>
    <t>V</t>
  </si>
  <si>
    <t>b2</t>
  </si>
  <si>
    <t>＝　</t>
  </si>
  <si>
    <t xml:space="preserve">δa = </t>
  </si>
  <si>
    <t>σmax</t>
  </si>
  <si>
    <t>=</t>
  </si>
  <si>
    <t xml:space="preserve">σa = </t>
  </si>
  <si>
    <t xml:space="preserve">N ≦ </t>
  </si>
  <si>
    <t>5)</t>
  </si>
  <si>
    <t>越流部</t>
  </si>
  <si>
    <t>洪水時</t>
  </si>
  <si>
    <t>土石流時</t>
  </si>
  <si>
    <t>x</t>
  </si>
  <si>
    <t>b2</t>
  </si>
  <si>
    <t>n</t>
  </si>
  <si>
    <t>f・V+τo･L</t>
  </si>
  <si>
    <t>H</t>
  </si>
  <si>
    <r>
      <t>kN/m</t>
    </r>
    <r>
      <rPr>
        <vertAlign val="superscript"/>
        <sz val="10"/>
        <rFont val="ＭＳ 明朝"/>
        <family val="1"/>
      </rPr>
      <t>2</t>
    </r>
  </si>
  <si>
    <t>σmax</t>
  </si>
  <si>
    <t>σmin</t>
  </si>
  <si>
    <t>検討
断面</t>
  </si>
  <si>
    <t>非越流部 土石流時</t>
  </si>
  <si>
    <t>土石流の水深と袖部の高さが一致する断面</t>
  </si>
  <si>
    <t>袖小口の断面</t>
  </si>
  <si>
    <t>OUT断面</t>
  </si>
  <si>
    <t>作用点(m)</t>
  </si>
  <si>
    <t>m</t>
  </si>
  <si>
    <t>6)</t>
  </si>
  <si>
    <t>■ローダム不透過型堰堤安定計算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</si>
</sst>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&quot;1:&quot;0.00"/>
    <numFmt numFmtId="181" formatCode="0.000000"/>
    <numFmt numFmtId="182" formatCode="0.00_);[Red]\(0.00\)"/>
    <numFmt numFmtId="183" formatCode="#,##0.0;[Red]\-#,##0.0"/>
    <numFmt numFmtId="184" formatCode="#,##0.000;[Red]\-#,##0.000"/>
    <numFmt numFmtId="185" formatCode="0.0_ "/>
    <numFmt numFmtId="186" formatCode="0.00_ ;[Red]\-0.00\ "/>
    <numFmt numFmtId="187" formatCode="0.00_ "/>
    <numFmt numFmtId="188" formatCode="#,##0.00_ ;[Red]\-#,##0.0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vertAlign val="subscript"/>
      <sz val="10"/>
      <name val="ＭＳ 明朝"/>
      <family val="1"/>
    </font>
    <font>
      <sz val="10.5"/>
      <name val="ＭＳ ゴシック"/>
      <family val="3"/>
    </font>
    <font>
      <sz val="10.5"/>
      <color indexed="10"/>
      <name val="ＭＳ ゴシック"/>
      <family val="3"/>
    </font>
    <font>
      <vertAlign val="superscript"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 horizontal="right" vertical="center" textRotation="90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38" fontId="8" fillId="0" borderId="0" xfId="49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38" fontId="8" fillId="0" borderId="0" xfId="49" applyFont="1" applyAlignment="1" applyProtection="1">
      <alignment horizontal="center"/>
      <protection locked="0"/>
    </xf>
    <xf numFmtId="179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2" fontId="8" fillId="0" borderId="22" xfId="0" applyNumberFormat="1" applyFont="1" applyBorder="1" applyAlignment="1">
      <alignment horizontal="center" vertical="center"/>
    </xf>
    <xf numFmtId="40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8" fillId="0" borderId="26" xfId="0" applyFont="1" applyBorder="1" applyAlignment="1" applyProtection="1">
      <alignment horizontal="center" shrinkToFit="1"/>
      <protection locked="0"/>
    </xf>
    <xf numFmtId="0" fontId="8" fillId="0" borderId="28" xfId="0" applyFont="1" applyBorder="1" applyAlignment="1" applyProtection="1">
      <alignment horizontal="center" shrinkToFit="1"/>
      <protection locked="0"/>
    </xf>
    <xf numFmtId="0" fontId="8" fillId="0" borderId="29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29" xfId="0" applyFont="1" applyBorder="1" applyAlignment="1" applyProtection="1">
      <alignment horizontal="center" shrinkToFit="1"/>
      <protection locked="0"/>
    </xf>
    <xf numFmtId="0" fontId="8" fillId="0" borderId="30" xfId="0" applyFont="1" applyBorder="1" applyAlignment="1" applyProtection="1">
      <alignment horizontal="center" shrinkToFit="1"/>
      <protection locked="0"/>
    </xf>
    <xf numFmtId="0" fontId="8" fillId="0" borderId="31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8" fillId="0" borderId="33" xfId="0" applyFont="1" applyBorder="1" applyAlignment="1" applyProtection="1">
      <alignment horizontal="right" shrinkToFit="1"/>
      <protection locked="0"/>
    </xf>
    <xf numFmtId="40" fontId="8" fillId="0" borderId="32" xfId="49" applyNumberFormat="1" applyFont="1" applyBorder="1" applyAlignment="1">
      <alignment horizontal="center" shrinkToFit="1"/>
    </xf>
    <xf numFmtId="40" fontId="8" fillId="0" borderId="34" xfId="49" applyNumberFormat="1" applyFont="1" applyBorder="1" applyAlignment="1">
      <alignment horizontal="center" shrinkToFit="1"/>
    </xf>
    <xf numFmtId="0" fontId="8" fillId="0" borderId="35" xfId="0" applyFont="1" applyBorder="1" applyAlignment="1" applyProtection="1">
      <alignment horizontal="center" shrinkToFit="1"/>
      <protection locked="0"/>
    </xf>
    <xf numFmtId="0" fontId="8" fillId="0" borderId="29" xfId="0" applyFont="1" applyBorder="1" applyAlignment="1" applyProtection="1">
      <alignment shrinkToFit="1"/>
      <protection locked="0"/>
    </xf>
    <xf numFmtId="2" fontId="8" fillId="0" borderId="0" xfId="0" applyNumberFormat="1" applyFont="1" applyBorder="1" applyAlignment="1" applyProtection="1">
      <alignment shrinkToFit="1"/>
      <protection locked="0"/>
    </xf>
    <xf numFmtId="40" fontId="8" fillId="0" borderId="29" xfId="49" applyNumberFormat="1" applyFont="1" applyBorder="1" applyAlignment="1">
      <alignment horizontal="center" shrinkToFit="1"/>
    </xf>
    <xf numFmtId="40" fontId="8" fillId="0" borderId="30" xfId="49" applyNumberFormat="1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37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10" fillId="0" borderId="38" xfId="0" applyFont="1" applyBorder="1" applyAlignment="1" applyProtection="1">
      <alignment horizontal="right" shrinkToFit="1"/>
      <protection locked="0"/>
    </xf>
    <xf numFmtId="40" fontId="8" fillId="0" borderId="37" xfId="49" applyNumberFormat="1" applyFont="1" applyBorder="1" applyAlignment="1" applyProtection="1">
      <alignment horizontal="right" shrinkToFit="1"/>
      <protection locked="0"/>
    </xf>
    <xf numFmtId="40" fontId="8" fillId="0" borderId="39" xfId="49" applyNumberFormat="1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1" fontId="8" fillId="0" borderId="37" xfId="0" applyNumberFormat="1" applyFont="1" applyBorder="1" applyAlignment="1" applyProtection="1">
      <alignment horizontal="center" shrinkToFit="1"/>
      <protection locked="0"/>
    </xf>
    <xf numFmtId="2" fontId="8" fillId="0" borderId="0" xfId="0" applyNumberFormat="1" applyFont="1" applyBorder="1" applyAlignment="1" applyProtection="1">
      <alignment horizontal="center" shrinkToFit="1"/>
      <protection locked="0"/>
    </xf>
    <xf numFmtId="188" fontId="8" fillId="0" borderId="29" xfId="49" applyNumberFormat="1" applyFont="1" applyBorder="1" applyAlignment="1" applyProtection="1">
      <alignment horizontal="right" shrinkToFit="1"/>
      <protection locked="0"/>
    </xf>
    <xf numFmtId="2" fontId="8" fillId="0" borderId="0" xfId="0" applyNumberFormat="1" applyFont="1" applyBorder="1" applyAlignment="1">
      <alignment shrinkToFit="1"/>
    </xf>
    <xf numFmtId="2" fontId="8" fillId="0" borderId="0" xfId="0" applyNumberFormat="1" applyFont="1" applyBorder="1" applyAlignment="1" applyProtection="1">
      <alignment horizontal="right" shrinkToFit="1"/>
      <protection locked="0"/>
    </xf>
    <xf numFmtId="188" fontId="8" fillId="0" borderId="30" xfId="49" applyNumberFormat="1" applyFont="1" applyBorder="1" applyAlignment="1" applyProtection="1">
      <alignment horizontal="right" shrinkToFit="1"/>
      <protection locked="0"/>
    </xf>
    <xf numFmtId="188" fontId="8" fillId="0" borderId="37" xfId="49" applyNumberFormat="1" applyFont="1" applyBorder="1" applyAlignment="1" applyProtection="1">
      <alignment horizontal="right" shrinkToFit="1"/>
      <protection locked="0"/>
    </xf>
    <xf numFmtId="2" fontId="8" fillId="0" borderId="38" xfId="0" applyNumberFormat="1" applyFont="1" applyBorder="1" applyAlignment="1" applyProtection="1">
      <alignment horizontal="right" shrinkToFit="1"/>
      <protection locked="0"/>
    </xf>
    <xf numFmtId="188" fontId="8" fillId="0" borderId="39" xfId="49" applyNumberFormat="1" applyFont="1" applyBorder="1" applyAlignment="1" applyProtection="1">
      <alignment horizontal="right" shrinkToFit="1"/>
      <protection locked="0"/>
    </xf>
    <xf numFmtId="2" fontId="8" fillId="0" borderId="29" xfId="0" applyNumberFormat="1" applyFont="1" applyBorder="1" applyAlignment="1" applyProtection="1">
      <alignment shrinkToFit="1"/>
      <protection locked="0"/>
    </xf>
    <xf numFmtId="1" fontId="8" fillId="0" borderId="38" xfId="0" applyNumberFormat="1" applyFont="1" applyBorder="1" applyAlignment="1" applyProtection="1">
      <alignment horizontal="center" shrinkToFit="1"/>
      <protection locked="0"/>
    </xf>
    <xf numFmtId="2" fontId="8" fillId="0" borderId="37" xfId="0" applyNumberFormat="1" applyFont="1" applyBorder="1" applyAlignment="1">
      <alignment shrinkToFit="1"/>
    </xf>
    <xf numFmtId="2" fontId="8" fillId="0" borderId="38" xfId="0" applyNumberFormat="1" applyFont="1" applyBorder="1" applyAlignment="1">
      <alignment shrinkToFit="1"/>
    </xf>
    <xf numFmtId="2" fontId="8" fillId="0" borderId="0" xfId="0" applyNumberFormat="1" applyFont="1" applyBorder="1" applyAlignment="1">
      <alignment horizontal="center" shrinkToFit="1"/>
    </xf>
    <xf numFmtId="1" fontId="10" fillId="0" borderId="38" xfId="0" applyNumberFormat="1" applyFont="1" applyBorder="1" applyAlignment="1" applyProtection="1">
      <alignment horizontal="right" shrinkToFit="1"/>
      <protection locked="0"/>
    </xf>
    <xf numFmtId="188" fontId="8" fillId="0" borderId="37" xfId="49" applyNumberFormat="1" applyFont="1" applyBorder="1" applyAlignment="1">
      <alignment horizontal="center" shrinkToFit="1"/>
    </xf>
    <xf numFmtId="188" fontId="8" fillId="0" borderId="39" xfId="49" applyNumberFormat="1" applyFont="1" applyBorder="1" applyAlignment="1">
      <alignment horizontal="center" shrinkToFit="1"/>
    </xf>
    <xf numFmtId="188" fontId="8" fillId="0" borderId="29" xfId="49" applyNumberFormat="1" applyFont="1" applyBorder="1" applyAlignment="1">
      <alignment horizontal="center" shrinkToFit="1"/>
    </xf>
    <xf numFmtId="188" fontId="8" fillId="0" borderId="30" xfId="49" applyNumberFormat="1" applyFont="1" applyBorder="1" applyAlignment="1">
      <alignment horizontal="center" shrinkToFit="1"/>
    </xf>
    <xf numFmtId="2" fontId="8" fillId="0" borderId="29" xfId="0" applyNumberFormat="1" applyFont="1" applyBorder="1" applyAlignment="1">
      <alignment shrinkToFit="1"/>
    </xf>
    <xf numFmtId="40" fontId="8" fillId="0" borderId="39" xfId="49" applyNumberFormat="1" applyFont="1" applyBorder="1" applyAlignment="1">
      <alignment shrinkToFit="1"/>
    </xf>
    <xf numFmtId="0" fontId="8" fillId="0" borderId="4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2" fontId="8" fillId="0" borderId="41" xfId="0" applyNumberFormat="1" applyFont="1" applyBorder="1" applyAlignment="1">
      <alignment shrinkToFit="1"/>
    </xf>
    <xf numFmtId="2" fontId="8" fillId="0" borderId="42" xfId="0" applyNumberFormat="1" applyFont="1" applyBorder="1" applyAlignment="1">
      <alignment shrinkToFit="1"/>
    </xf>
    <xf numFmtId="0" fontId="8" fillId="0" borderId="42" xfId="0" applyFont="1" applyBorder="1" applyAlignment="1">
      <alignment horizontal="center" shrinkToFit="1"/>
    </xf>
    <xf numFmtId="40" fontId="8" fillId="0" borderId="41" xfId="49" applyNumberFormat="1" applyFont="1" applyBorder="1" applyAlignment="1" applyProtection="1">
      <alignment horizontal="right" shrinkToFit="1"/>
      <protection locked="0"/>
    </xf>
    <xf numFmtId="40" fontId="8" fillId="0" borderId="43" xfId="49" applyNumberFormat="1" applyFont="1" applyBorder="1" applyAlignment="1">
      <alignment shrinkToFit="1"/>
    </xf>
    <xf numFmtId="40" fontId="8" fillId="0" borderId="0" xfId="49" applyNumberFormat="1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distributed" shrinkToFit="1"/>
    </xf>
    <xf numFmtId="188" fontId="8" fillId="0" borderId="32" xfId="49" applyNumberFormat="1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182" fontId="8" fillId="0" borderId="0" xfId="0" applyNumberFormat="1" applyFont="1" applyBorder="1" applyAlignment="1">
      <alignment horizontal="center" shrinkToFit="1"/>
    </xf>
    <xf numFmtId="1" fontId="8" fillId="0" borderId="37" xfId="0" applyNumberFormat="1" applyFont="1" applyBorder="1" applyAlignment="1">
      <alignment horizontal="center" shrinkToFit="1"/>
    </xf>
    <xf numFmtId="2" fontId="8" fillId="0" borderId="38" xfId="0" applyNumberFormat="1" applyFont="1" applyBorder="1" applyAlignment="1" applyProtection="1">
      <alignment shrinkToFit="1"/>
      <protection locked="0"/>
    </xf>
    <xf numFmtId="182" fontId="8" fillId="0" borderId="38" xfId="0" applyNumberFormat="1" applyFont="1" applyBorder="1" applyAlignment="1">
      <alignment horizontal="center" shrinkToFit="1"/>
    </xf>
    <xf numFmtId="182" fontId="8" fillId="0" borderId="0" xfId="0" applyNumberFormat="1" applyFont="1" applyBorder="1" applyAlignment="1">
      <alignment shrinkToFit="1"/>
    </xf>
    <xf numFmtId="1" fontId="8" fillId="0" borderId="38" xfId="0" applyNumberFormat="1" applyFont="1" applyBorder="1" applyAlignment="1">
      <alignment horizontal="center" shrinkToFit="1"/>
    </xf>
    <xf numFmtId="182" fontId="8" fillId="0" borderId="38" xfId="0" applyNumberFormat="1" applyFont="1" applyBorder="1" applyAlignment="1" applyProtection="1">
      <alignment horizontal="right" shrinkToFit="1"/>
      <protection locked="0"/>
    </xf>
    <xf numFmtId="179" fontId="8" fillId="0" borderId="29" xfId="0" applyNumberFormat="1" applyFont="1" applyBorder="1" applyAlignment="1" applyProtection="1">
      <alignment horizontal="center" shrinkToFit="1"/>
      <protection locked="0"/>
    </xf>
    <xf numFmtId="2" fontId="8" fillId="0" borderId="29" xfId="0" applyNumberFormat="1" applyFont="1" applyBorder="1" applyAlignment="1" applyProtection="1">
      <alignment horizontal="center" shrinkToFit="1"/>
      <protection locked="0"/>
    </xf>
    <xf numFmtId="182" fontId="8" fillId="0" borderId="0" xfId="0" applyNumberFormat="1" applyFont="1" applyBorder="1" applyAlignment="1" applyProtection="1">
      <alignment horizontal="right" shrinkToFit="1"/>
      <protection locked="0"/>
    </xf>
    <xf numFmtId="2" fontId="8" fillId="0" borderId="38" xfId="0" applyNumberFormat="1" applyFont="1" applyBorder="1" applyAlignment="1">
      <alignment horizontal="center" shrinkToFit="1"/>
    </xf>
    <xf numFmtId="179" fontId="8" fillId="0" borderId="38" xfId="0" applyNumberFormat="1" applyFont="1" applyBorder="1" applyAlignment="1">
      <alignment shrinkToFit="1"/>
    </xf>
    <xf numFmtId="188" fontId="8" fillId="0" borderId="37" xfId="49" applyNumberFormat="1" applyFont="1" applyBorder="1" applyAlignment="1">
      <alignment shrinkToFit="1"/>
    </xf>
    <xf numFmtId="188" fontId="8" fillId="0" borderId="39" xfId="49" applyNumberFormat="1" applyFont="1" applyBorder="1" applyAlignment="1">
      <alignment shrinkToFit="1"/>
    </xf>
    <xf numFmtId="182" fontId="8" fillId="0" borderId="38" xfId="0" applyNumberFormat="1" applyFont="1" applyBorder="1" applyAlignment="1">
      <alignment shrinkToFit="1"/>
    </xf>
    <xf numFmtId="188" fontId="8" fillId="0" borderId="29" xfId="49" applyNumberFormat="1" applyFont="1" applyBorder="1" applyAlignment="1">
      <alignment shrinkToFit="1"/>
    </xf>
    <xf numFmtId="188" fontId="8" fillId="0" borderId="30" xfId="49" applyNumberFormat="1" applyFont="1" applyBorder="1" applyAlignment="1">
      <alignment shrinkToFit="1"/>
    </xf>
    <xf numFmtId="0" fontId="8" fillId="0" borderId="40" xfId="0" applyFont="1" applyBorder="1" applyAlignment="1" applyProtection="1">
      <alignment horizontal="center" shrinkToFit="1"/>
      <protection locked="0"/>
    </xf>
    <xf numFmtId="188" fontId="8" fillId="0" borderId="41" xfId="49" applyNumberFormat="1" applyFont="1" applyBorder="1" applyAlignment="1" applyProtection="1">
      <alignment horizontal="right" shrinkToFit="1"/>
      <protection locked="0"/>
    </xf>
    <xf numFmtId="182" fontId="8" fillId="0" borderId="42" xfId="0" applyNumberFormat="1" applyFont="1" applyBorder="1" applyAlignment="1">
      <alignment shrinkToFit="1"/>
    </xf>
    <xf numFmtId="188" fontId="8" fillId="0" borderId="43" xfId="49" applyNumberFormat="1" applyFont="1" applyBorder="1" applyAlignment="1" applyProtection="1">
      <alignment horizontal="right" shrinkToFit="1"/>
      <protection locked="0"/>
    </xf>
    <xf numFmtId="0" fontId="8" fillId="0" borderId="14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right"/>
    </xf>
    <xf numFmtId="180" fontId="14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left"/>
    </xf>
    <xf numFmtId="38" fontId="14" fillId="0" borderId="0" xfId="49" applyFont="1" applyAlignment="1" applyProtection="1" quotePrefix="1">
      <alignment horizontal="center"/>
      <protection locked="0"/>
    </xf>
    <xf numFmtId="38" fontId="14" fillId="0" borderId="0" xfId="49" applyFont="1" applyAlignment="1" applyProtection="1">
      <alignment horizontal="center"/>
      <protection locked="0"/>
    </xf>
    <xf numFmtId="178" fontId="8" fillId="0" borderId="4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8" fontId="8" fillId="0" borderId="4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 applyProtection="1">
      <alignment horizontal="center"/>
      <protection locked="0"/>
    </xf>
    <xf numFmtId="178" fontId="8" fillId="0" borderId="0" xfId="0" applyNumberFormat="1" applyFont="1" applyAlignment="1">
      <alignment horizontal="center" vertical="center"/>
    </xf>
    <xf numFmtId="187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178" fontId="8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shrinkToFit="1"/>
      <protection locked="0"/>
    </xf>
    <xf numFmtId="2" fontId="8" fillId="0" borderId="0" xfId="0" applyNumberFormat="1" applyFont="1" applyAlignment="1" applyProtection="1">
      <alignment horizontal="center" vertical="center" shrinkToFit="1"/>
      <protection locked="0"/>
    </xf>
    <xf numFmtId="187" fontId="8" fillId="0" borderId="14" xfId="49" applyNumberFormat="1" applyFont="1" applyBorder="1" applyAlignment="1" applyProtection="1">
      <alignment horizont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shrinkToFit="1"/>
      <protection locked="0"/>
    </xf>
    <xf numFmtId="187" fontId="8" fillId="0" borderId="0" xfId="49" applyNumberFormat="1" applyFont="1" applyBorder="1" applyAlignment="1" applyProtection="1">
      <alignment horizontal="center" shrinkToFit="1"/>
      <protection locked="0"/>
    </xf>
    <xf numFmtId="0" fontId="8" fillId="0" borderId="14" xfId="0" applyFont="1" applyBorder="1" applyAlignment="1">
      <alignment horizontal="center" shrinkToFit="1"/>
    </xf>
    <xf numFmtId="178" fontId="8" fillId="0" borderId="0" xfId="0" applyNumberFormat="1" applyFont="1" applyAlignment="1">
      <alignment horizontal="center" vertical="center" shrinkToFit="1"/>
    </xf>
    <xf numFmtId="2" fontId="8" fillId="0" borderId="14" xfId="0" applyNumberFormat="1" applyFont="1" applyBorder="1" applyAlignment="1">
      <alignment horizontal="center" shrinkToFit="1"/>
    </xf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shrinkToFit="1"/>
      <protection locked="0"/>
    </xf>
    <xf numFmtId="38" fontId="8" fillId="0" borderId="14" xfId="0" applyNumberFormat="1" applyFont="1" applyBorder="1" applyAlignment="1">
      <alignment horizontal="center" shrinkToFit="1"/>
    </xf>
    <xf numFmtId="179" fontId="8" fillId="0" borderId="0" xfId="0" applyNumberFormat="1" applyFont="1" applyAlignment="1">
      <alignment horizontal="center" shrinkToFit="1"/>
    </xf>
    <xf numFmtId="2" fontId="8" fillId="0" borderId="0" xfId="0" applyNumberFormat="1" applyFont="1" applyAlignment="1" applyProtection="1">
      <alignment horizontal="center" shrinkToFit="1"/>
      <protection locked="0"/>
    </xf>
    <xf numFmtId="2" fontId="8" fillId="0" borderId="0" xfId="0" applyNumberFormat="1" applyFont="1" applyAlignment="1">
      <alignment horizontal="center" shrinkToFit="1"/>
    </xf>
    <xf numFmtId="187" fontId="8" fillId="0" borderId="0" xfId="0" applyNumberFormat="1" applyFont="1" applyAlignment="1" applyProtection="1">
      <alignment horizontal="center" shrinkToFit="1"/>
      <protection locked="0"/>
    </xf>
    <xf numFmtId="38" fontId="8" fillId="0" borderId="0" xfId="0" applyNumberFormat="1" applyFont="1" applyAlignment="1">
      <alignment horizontal="center" shrinkToFit="1"/>
    </xf>
    <xf numFmtId="2" fontId="8" fillId="0" borderId="38" xfId="0" applyNumberFormat="1" applyFont="1" applyBorder="1" applyAlignment="1" applyProtection="1">
      <alignment horizontal="center" shrinkToFit="1"/>
      <protection locked="0"/>
    </xf>
    <xf numFmtId="38" fontId="8" fillId="0" borderId="24" xfId="49" applyFont="1" applyBorder="1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/>
    </xf>
    <xf numFmtId="178" fontId="8" fillId="0" borderId="0" xfId="0" applyNumberFormat="1" applyFont="1" applyAlignment="1">
      <alignment horizontal="left"/>
    </xf>
    <xf numFmtId="2" fontId="8" fillId="0" borderId="46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179" fontId="8" fillId="0" borderId="24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38" fontId="8" fillId="0" borderId="15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 shrinkToFit="1"/>
    </xf>
    <xf numFmtId="2" fontId="8" fillId="0" borderId="48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183" fontId="8" fillId="0" borderId="24" xfId="49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38" fontId="8" fillId="0" borderId="48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38" fontId="8" fillId="0" borderId="24" xfId="0" applyNumberFormat="1" applyFont="1" applyBorder="1" applyAlignment="1">
      <alignment horizontal="center" vertic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8" fontId="8" fillId="0" borderId="0" xfId="49" applyFont="1" applyAlignment="1">
      <alignment horizont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40" fontId="8" fillId="0" borderId="29" xfId="49" applyNumberFormat="1" applyFont="1" applyBorder="1" applyAlignment="1" applyProtection="1">
      <alignment horizontal="right" shrinkToFit="1"/>
      <protection locked="0"/>
    </xf>
    <xf numFmtId="40" fontId="8" fillId="0" borderId="30" xfId="49" applyNumberFormat="1" applyFont="1" applyBorder="1" applyAlignment="1" applyProtection="1">
      <alignment horizontal="right" shrinkToFit="1"/>
      <protection locked="0"/>
    </xf>
    <xf numFmtId="40" fontId="8" fillId="0" borderId="39" xfId="49" applyNumberFormat="1" applyFont="1" applyBorder="1" applyAlignment="1" applyProtection="1">
      <alignment horizontal="right" shrinkToFit="1"/>
      <protection locked="0"/>
    </xf>
    <xf numFmtId="40" fontId="8" fillId="0" borderId="37" xfId="49" applyNumberFormat="1" applyFont="1" applyBorder="1" applyAlignment="1">
      <alignment shrinkToFit="1"/>
    </xf>
    <xf numFmtId="40" fontId="8" fillId="0" borderId="29" xfId="49" applyNumberFormat="1" applyFont="1" applyBorder="1" applyAlignment="1">
      <alignment shrinkToFit="1"/>
    </xf>
    <xf numFmtId="40" fontId="8" fillId="0" borderId="30" xfId="49" applyNumberFormat="1" applyFont="1" applyBorder="1" applyAlignment="1">
      <alignment shrinkToFit="1"/>
    </xf>
    <xf numFmtId="2" fontId="8" fillId="0" borderId="14" xfId="0" applyNumberFormat="1" applyFont="1" applyBorder="1" applyAlignment="1">
      <alignment shrinkToFit="1"/>
    </xf>
    <xf numFmtId="40" fontId="8" fillId="0" borderId="43" xfId="49" applyNumberFormat="1" applyFont="1" applyBorder="1" applyAlignment="1" applyProtection="1">
      <alignment horizontal="right" shrinkToFit="1"/>
      <protection locked="0"/>
    </xf>
    <xf numFmtId="0" fontId="18" fillId="0" borderId="0" xfId="0" applyFont="1" applyBorder="1" applyAlignment="1">
      <alignment horizontal="center"/>
    </xf>
    <xf numFmtId="182" fontId="18" fillId="0" borderId="0" xfId="0" applyNumberFormat="1" applyFont="1" applyBorder="1" applyAlignment="1">
      <alignment horizontal="center"/>
    </xf>
    <xf numFmtId="40" fontId="18" fillId="0" borderId="0" xfId="49" applyNumberFormat="1" applyFont="1" applyBorder="1" applyAlignment="1">
      <alignment horizontal="center"/>
    </xf>
    <xf numFmtId="0" fontId="18" fillId="0" borderId="0" xfId="0" applyFont="1" applyAlignment="1">
      <alignment horizontal="distributed"/>
    </xf>
    <xf numFmtId="0" fontId="18" fillId="0" borderId="0" xfId="0" applyFont="1" applyAlignment="1" applyProtection="1">
      <alignment/>
      <protection locked="0"/>
    </xf>
    <xf numFmtId="2" fontId="53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38" fontId="8" fillId="0" borderId="0" xfId="49" applyFont="1" applyBorder="1" applyAlignment="1">
      <alignment horizontal="right"/>
    </xf>
    <xf numFmtId="38" fontId="8" fillId="0" borderId="14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vertical="center" textRotation="90"/>
    </xf>
    <xf numFmtId="0" fontId="5" fillId="0" borderId="0" xfId="0" applyFont="1" applyBorder="1" applyAlignment="1">
      <alignment/>
    </xf>
    <xf numFmtId="0" fontId="8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shrinkToFit="1"/>
      <protection locked="0"/>
    </xf>
    <xf numFmtId="38" fontId="53" fillId="0" borderId="14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textRotation="90"/>
    </xf>
    <xf numFmtId="180" fontId="8" fillId="0" borderId="10" xfId="0" applyNumberFormat="1" applyFont="1" applyBorder="1" applyAlignment="1">
      <alignment horizontal="right" vertical="center" textRotation="90"/>
    </xf>
    <xf numFmtId="180" fontId="8" fillId="0" borderId="0" xfId="0" applyNumberFormat="1" applyFont="1" applyBorder="1" applyAlignment="1">
      <alignment horizontal="left" vertical="center" textRotation="90"/>
    </xf>
    <xf numFmtId="2" fontId="8" fillId="0" borderId="0" xfId="0" applyNumberFormat="1" applyFont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5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center" shrinkToFit="1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center" vertical="center" shrinkToFit="1"/>
    </xf>
    <xf numFmtId="2" fontId="8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 applyProtection="1">
      <alignment horizontal="center" shrinkToFit="1"/>
      <protection locked="0"/>
    </xf>
    <xf numFmtId="40" fontId="8" fillId="0" borderId="16" xfId="0" applyNumberFormat="1" applyFont="1" applyBorder="1" applyAlignment="1" applyProtection="1">
      <alignment horizont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2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2" fontId="8" fillId="0" borderId="16" xfId="0" applyNumberFormat="1" applyFont="1" applyBorder="1" applyAlignment="1">
      <alignment horizontal="center" shrinkToFit="1"/>
    </xf>
    <xf numFmtId="18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2" fontId="8" fillId="0" borderId="22" xfId="0" applyNumberFormat="1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48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179" fontId="8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3171825" y="21526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97180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>
          <a:off x="367665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4" name="Line 5"/>
        <xdr:cNvSpPr>
          <a:spLocks/>
        </xdr:cNvSpPr>
      </xdr:nvSpPr>
      <xdr:spPr>
        <a:xfrm>
          <a:off x="2971800" y="32861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0</xdr:colOff>
      <xdr:row>21</xdr:row>
      <xdr:rowOff>47625</xdr:rowOff>
    </xdr:to>
    <xdr:sp>
      <xdr:nvSpPr>
        <xdr:cNvPr id="5" name="Line 6"/>
        <xdr:cNvSpPr>
          <a:spLocks/>
        </xdr:cNvSpPr>
      </xdr:nvSpPr>
      <xdr:spPr>
        <a:xfrm>
          <a:off x="2971800" y="3324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28575</xdr:rowOff>
    </xdr:from>
    <xdr:to>
      <xdr:col>11</xdr:col>
      <xdr:colOff>0</xdr:colOff>
      <xdr:row>21</xdr:row>
      <xdr:rowOff>57150</xdr:rowOff>
    </xdr:to>
    <xdr:sp>
      <xdr:nvSpPr>
        <xdr:cNvPr id="6" name="Line 7"/>
        <xdr:cNvSpPr>
          <a:spLocks/>
        </xdr:cNvSpPr>
      </xdr:nvSpPr>
      <xdr:spPr>
        <a:xfrm>
          <a:off x="3876675" y="3314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12</xdr:row>
      <xdr:rowOff>0</xdr:rowOff>
    </xdr:from>
    <xdr:to>
      <xdr:col>9</xdr:col>
      <xdr:colOff>409575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3581400" y="21526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8" name="Line 9"/>
        <xdr:cNvSpPr>
          <a:spLocks/>
        </xdr:cNvSpPr>
      </xdr:nvSpPr>
      <xdr:spPr>
        <a:xfrm>
          <a:off x="3781425" y="2638425"/>
          <a:ext cx="52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9" name="Line 10"/>
        <xdr:cNvSpPr>
          <a:spLocks/>
        </xdr:cNvSpPr>
      </xdr:nvSpPr>
      <xdr:spPr>
        <a:xfrm>
          <a:off x="2971800" y="355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152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12</xdr:row>
      <xdr:rowOff>0</xdr:rowOff>
    </xdr:from>
    <xdr:to>
      <xdr:col>11</xdr:col>
      <xdr:colOff>247650</xdr:colOff>
      <xdr:row>15</xdr:row>
      <xdr:rowOff>0</xdr:rowOff>
    </xdr:to>
    <xdr:sp>
      <xdr:nvSpPr>
        <xdr:cNvPr id="11" name="Freeform 14"/>
        <xdr:cNvSpPr>
          <a:spLocks/>
        </xdr:cNvSpPr>
      </xdr:nvSpPr>
      <xdr:spPr>
        <a:xfrm>
          <a:off x="3971925" y="2152650"/>
          <a:ext cx="152400" cy="485775"/>
        </a:xfrm>
        <a:custGeom>
          <a:pathLst>
            <a:path h="54" w="16">
              <a:moveTo>
                <a:pt x="13" y="0"/>
              </a:moveTo>
              <a:cubicBezTo>
                <a:pt x="11" y="1"/>
                <a:pt x="10" y="2"/>
                <a:pt x="10" y="5"/>
              </a:cubicBezTo>
              <a:cubicBezTo>
                <a:pt x="10" y="8"/>
                <a:pt x="14" y="13"/>
                <a:pt x="15" y="17"/>
              </a:cubicBezTo>
              <a:cubicBezTo>
                <a:pt x="16" y="21"/>
                <a:pt x="16" y="24"/>
                <a:pt x="15" y="27"/>
              </a:cubicBezTo>
              <a:cubicBezTo>
                <a:pt x="14" y="30"/>
                <a:pt x="9" y="32"/>
                <a:pt x="7" y="34"/>
              </a:cubicBezTo>
              <a:cubicBezTo>
                <a:pt x="5" y="36"/>
                <a:pt x="3" y="37"/>
                <a:pt x="2" y="39"/>
              </a:cubicBezTo>
              <a:cubicBezTo>
                <a:pt x="1" y="41"/>
                <a:pt x="0" y="46"/>
                <a:pt x="1" y="48"/>
              </a:cubicBezTo>
              <a:cubicBezTo>
                <a:pt x="2" y="50"/>
                <a:pt x="5" y="52"/>
                <a:pt x="9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12" name="Line 15"/>
        <xdr:cNvSpPr>
          <a:spLocks/>
        </xdr:cNvSpPr>
      </xdr:nvSpPr>
      <xdr:spPr>
        <a:xfrm>
          <a:off x="3876675" y="2314575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3" name="Line 16"/>
        <xdr:cNvSpPr>
          <a:spLocks/>
        </xdr:cNvSpPr>
      </xdr:nvSpPr>
      <xdr:spPr>
        <a:xfrm>
          <a:off x="1133475" y="21526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19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93345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19</xdr:row>
      <xdr:rowOff>0</xdr:rowOff>
    </xdr:to>
    <xdr:sp>
      <xdr:nvSpPr>
        <xdr:cNvPr id="15" name="Line 18"/>
        <xdr:cNvSpPr>
          <a:spLocks/>
        </xdr:cNvSpPr>
      </xdr:nvSpPr>
      <xdr:spPr>
        <a:xfrm>
          <a:off x="163830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" name="Line 19"/>
        <xdr:cNvSpPr>
          <a:spLocks/>
        </xdr:cNvSpPr>
      </xdr:nvSpPr>
      <xdr:spPr>
        <a:xfrm>
          <a:off x="933450" y="32861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38100</xdr:rowOff>
    </xdr:from>
    <xdr:to>
      <xdr:col>2</xdr:col>
      <xdr:colOff>0</xdr:colOff>
      <xdr:row>21</xdr:row>
      <xdr:rowOff>47625</xdr:rowOff>
    </xdr:to>
    <xdr:sp>
      <xdr:nvSpPr>
        <xdr:cNvPr id="17" name="Line 20"/>
        <xdr:cNvSpPr>
          <a:spLocks/>
        </xdr:cNvSpPr>
      </xdr:nvSpPr>
      <xdr:spPr>
        <a:xfrm>
          <a:off x="933450" y="3324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28575</xdr:rowOff>
    </xdr:from>
    <xdr:to>
      <xdr:col>5</xdr:col>
      <xdr:colOff>0</xdr:colOff>
      <xdr:row>21</xdr:row>
      <xdr:rowOff>57150</xdr:rowOff>
    </xdr:to>
    <xdr:sp>
      <xdr:nvSpPr>
        <xdr:cNvPr id="18" name="Line 21"/>
        <xdr:cNvSpPr>
          <a:spLocks/>
        </xdr:cNvSpPr>
      </xdr:nvSpPr>
      <xdr:spPr>
        <a:xfrm>
          <a:off x="1838325" y="3314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12</xdr:row>
      <xdr:rowOff>0</xdr:rowOff>
    </xdr:from>
    <xdr:to>
      <xdr:col>3</xdr:col>
      <xdr:colOff>409575</xdr:colOff>
      <xdr:row>19</xdr:row>
      <xdr:rowOff>0</xdr:rowOff>
    </xdr:to>
    <xdr:sp>
      <xdr:nvSpPr>
        <xdr:cNvPr id="19" name="Line 22"/>
        <xdr:cNvSpPr>
          <a:spLocks/>
        </xdr:cNvSpPr>
      </xdr:nvSpPr>
      <xdr:spPr>
        <a:xfrm>
          <a:off x="1543050" y="21526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0" name="Line 24"/>
        <xdr:cNvSpPr>
          <a:spLocks/>
        </xdr:cNvSpPr>
      </xdr:nvSpPr>
      <xdr:spPr>
        <a:xfrm>
          <a:off x="933450" y="355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1" name="Line 25"/>
        <xdr:cNvSpPr>
          <a:spLocks/>
        </xdr:cNvSpPr>
      </xdr:nvSpPr>
      <xdr:spPr>
        <a:xfrm>
          <a:off x="1133475" y="18288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15</xdr:row>
      <xdr:rowOff>9525</xdr:rowOff>
    </xdr:from>
    <xdr:to>
      <xdr:col>11</xdr:col>
      <xdr:colOff>133350</xdr:colOff>
      <xdr:row>15</xdr:row>
      <xdr:rowOff>95250</xdr:rowOff>
    </xdr:to>
    <xdr:sp>
      <xdr:nvSpPr>
        <xdr:cNvPr id="22" name="Line 36"/>
        <xdr:cNvSpPr>
          <a:spLocks/>
        </xdr:cNvSpPr>
      </xdr:nvSpPr>
      <xdr:spPr>
        <a:xfrm flipH="1">
          <a:off x="3943350" y="2647950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15</xdr:row>
      <xdr:rowOff>9525</xdr:rowOff>
    </xdr:from>
    <xdr:to>
      <xdr:col>11</xdr:col>
      <xdr:colOff>228600</xdr:colOff>
      <xdr:row>15</xdr:row>
      <xdr:rowOff>95250</xdr:rowOff>
    </xdr:to>
    <xdr:sp>
      <xdr:nvSpPr>
        <xdr:cNvPr id="23" name="Line 37"/>
        <xdr:cNvSpPr>
          <a:spLocks/>
        </xdr:cNvSpPr>
      </xdr:nvSpPr>
      <xdr:spPr>
        <a:xfrm flipH="1">
          <a:off x="4038600" y="2647950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15</xdr:row>
      <xdr:rowOff>9525</xdr:rowOff>
    </xdr:from>
    <xdr:to>
      <xdr:col>11</xdr:col>
      <xdr:colOff>180975</xdr:colOff>
      <xdr:row>15</xdr:row>
      <xdr:rowOff>95250</xdr:rowOff>
    </xdr:to>
    <xdr:sp>
      <xdr:nvSpPr>
        <xdr:cNvPr id="24" name="Line 38"/>
        <xdr:cNvSpPr>
          <a:spLocks/>
        </xdr:cNvSpPr>
      </xdr:nvSpPr>
      <xdr:spPr>
        <a:xfrm flipH="1">
          <a:off x="3990975" y="2647950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15</xdr:row>
      <xdr:rowOff>9525</xdr:rowOff>
    </xdr:from>
    <xdr:to>
      <xdr:col>11</xdr:col>
      <xdr:colOff>342900</xdr:colOff>
      <xdr:row>15</xdr:row>
      <xdr:rowOff>95250</xdr:rowOff>
    </xdr:to>
    <xdr:sp>
      <xdr:nvSpPr>
        <xdr:cNvPr id="25" name="Line 39"/>
        <xdr:cNvSpPr>
          <a:spLocks/>
        </xdr:cNvSpPr>
      </xdr:nvSpPr>
      <xdr:spPr>
        <a:xfrm flipH="1">
          <a:off x="4152900" y="2647950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15</xdr:row>
      <xdr:rowOff>9525</xdr:rowOff>
    </xdr:from>
    <xdr:to>
      <xdr:col>11</xdr:col>
      <xdr:colOff>390525</xdr:colOff>
      <xdr:row>15</xdr:row>
      <xdr:rowOff>95250</xdr:rowOff>
    </xdr:to>
    <xdr:sp>
      <xdr:nvSpPr>
        <xdr:cNvPr id="26" name="Line 40"/>
        <xdr:cNvSpPr>
          <a:spLocks/>
        </xdr:cNvSpPr>
      </xdr:nvSpPr>
      <xdr:spPr>
        <a:xfrm flipH="1">
          <a:off x="4200525" y="2647950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15</xdr:row>
      <xdr:rowOff>9525</xdr:rowOff>
    </xdr:from>
    <xdr:to>
      <xdr:col>11</xdr:col>
      <xdr:colOff>428625</xdr:colOff>
      <xdr:row>15</xdr:row>
      <xdr:rowOff>95250</xdr:rowOff>
    </xdr:to>
    <xdr:sp>
      <xdr:nvSpPr>
        <xdr:cNvPr id="27" name="Line 41"/>
        <xdr:cNvSpPr>
          <a:spLocks/>
        </xdr:cNvSpPr>
      </xdr:nvSpPr>
      <xdr:spPr>
        <a:xfrm flipH="1">
          <a:off x="4248150" y="2647950"/>
          <a:ext cx="5715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15</xdr:row>
      <xdr:rowOff>9525</xdr:rowOff>
    </xdr:from>
    <xdr:to>
      <xdr:col>11</xdr:col>
      <xdr:colOff>304800</xdr:colOff>
      <xdr:row>15</xdr:row>
      <xdr:rowOff>47625</xdr:rowOff>
    </xdr:to>
    <xdr:sp>
      <xdr:nvSpPr>
        <xdr:cNvPr id="28" name="Line 42"/>
        <xdr:cNvSpPr>
          <a:spLocks/>
        </xdr:cNvSpPr>
      </xdr:nvSpPr>
      <xdr:spPr>
        <a:xfrm>
          <a:off x="4143375" y="2647950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15</xdr:row>
      <xdr:rowOff>28575</xdr:rowOff>
    </xdr:from>
    <xdr:to>
      <xdr:col>11</xdr:col>
      <xdr:colOff>285750</xdr:colOff>
      <xdr:row>15</xdr:row>
      <xdr:rowOff>85725</xdr:rowOff>
    </xdr:to>
    <xdr:sp>
      <xdr:nvSpPr>
        <xdr:cNvPr id="29" name="Line 43"/>
        <xdr:cNvSpPr>
          <a:spLocks/>
        </xdr:cNvSpPr>
      </xdr:nvSpPr>
      <xdr:spPr>
        <a:xfrm>
          <a:off x="4105275" y="2667000"/>
          <a:ext cx="571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15</xdr:row>
      <xdr:rowOff>57150</xdr:rowOff>
    </xdr:from>
    <xdr:to>
      <xdr:col>11</xdr:col>
      <xdr:colOff>238125</xdr:colOff>
      <xdr:row>15</xdr:row>
      <xdr:rowOff>95250</xdr:rowOff>
    </xdr:to>
    <xdr:sp>
      <xdr:nvSpPr>
        <xdr:cNvPr id="30" name="Line 44"/>
        <xdr:cNvSpPr>
          <a:spLocks/>
        </xdr:cNvSpPr>
      </xdr:nvSpPr>
      <xdr:spPr>
        <a:xfrm>
          <a:off x="4076700" y="2695575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0</xdr:rowOff>
    </xdr:from>
    <xdr:to>
      <xdr:col>2</xdr:col>
      <xdr:colOff>200025</xdr:colOff>
      <xdr:row>12</xdr:row>
      <xdr:rowOff>133350</xdr:rowOff>
    </xdr:to>
    <xdr:sp>
      <xdr:nvSpPr>
        <xdr:cNvPr id="31" name="Arc 45"/>
        <xdr:cNvSpPr>
          <a:spLocks/>
        </xdr:cNvSpPr>
      </xdr:nvSpPr>
      <xdr:spPr>
        <a:xfrm flipH="1">
          <a:off x="933450" y="1828800"/>
          <a:ext cx="200025" cy="457200"/>
        </a:xfrm>
        <a:custGeom>
          <a:pathLst>
            <a:path fill="none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</a:path>
            <a:path stroke="0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12</xdr:row>
      <xdr:rowOff>19050</xdr:rowOff>
    </xdr:from>
    <xdr:to>
      <xdr:col>2</xdr:col>
      <xdr:colOff>200025</xdr:colOff>
      <xdr:row>13</xdr:row>
      <xdr:rowOff>38100</xdr:rowOff>
    </xdr:to>
    <xdr:sp>
      <xdr:nvSpPr>
        <xdr:cNvPr id="32" name="Freeform 46"/>
        <xdr:cNvSpPr>
          <a:spLocks/>
        </xdr:cNvSpPr>
      </xdr:nvSpPr>
      <xdr:spPr>
        <a:xfrm>
          <a:off x="933450" y="2171700"/>
          <a:ext cx="200025" cy="180975"/>
        </a:xfrm>
        <a:custGeom>
          <a:pathLst>
            <a:path h="20" w="35">
              <a:moveTo>
                <a:pt x="2" y="0"/>
              </a:moveTo>
              <a:cubicBezTo>
                <a:pt x="1" y="6"/>
                <a:pt x="0" y="12"/>
                <a:pt x="1" y="15"/>
              </a:cubicBezTo>
              <a:cubicBezTo>
                <a:pt x="2" y="18"/>
                <a:pt x="3" y="20"/>
                <a:pt x="9" y="20"/>
              </a:cubicBezTo>
              <a:cubicBezTo>
                <a:pt x="15" y="20"/>
                <a:pt x="31" y="14"/>
                <a:pt x="35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3" name="Line 2"/>
        <xdr:cNvSpPr>
          <a:spLocks/>
        </xdr:cNvSpPr>
      </xdr:nvSpPr>
      <xdr:spPr>
        <a:xfrm>
          <a:off x="5210175" y="21526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19</xdr:row>
      <xdr:rowOff>0</xdr:rowOff>
    </xdr:to>
    <xdr:sp>
      <xdr:nvSpPr>
        <xdr:cNvPr id="34" name="Line 3"/>
        <xdr:cNvSpPr>
          <a:spLocks/>
        </xdr:cNvSpPr>
      </xdr:nvSpPr>
      <xdr:spPr>
        <a:xfrm flipH="1">
          <a:off x="501015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19</xdr:row>
      <xdr:rowOff>0</xdr:rowOff>
    </xdr:to>
    <xdr:sp>
      <xdr:nvSpPr>
        <xdr:cNvPr id="35" name="Line 4"/>
        <xdr:cNvSpPr>
          <a:spLocks/>
        </xdr:cNvSpPr>
      </xdr:nvSpPr>
      <xdr:spPr>
        <a:xfrm>
          <a:off x="571500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36" name="Line 5"/>
        <xdr:cNvSpPr>
          <a:spLocks/>
        </xdr:cNvSpPr>
      </xdr:nvSpPr>
      <xdr:spPr>
        <a:xfrm>
          <a:off x="5010150" y="32861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38100</xdr:rowOff>
    </xdr:from>
    <xdr:to>
      <xdr:col>14</xdr:col>
      <xdr:colOff>0</xdr:colOff>
      <xdr:row>21</xdr:row>
      <xdr:rowOff>47625</xdr:rowOff>
    </xdr:to>
    <xdr:sp>
      <xdr:nvSpPr>
        <xdr:cNvPr id="37" name="Line 6"/>
        <xdr:cNvSpPr>
          <a:spLocks/>
        </xdr:cNvSpPr>
      </xdr:nvSpPr>
      <xdr:spPr>
        <a:xfrm>
          <a:off x="5010150" y="3324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28575</xdr:rowOff>
    </xdr:from>
    <xdr:to>
      <xdr:col>17</xdr:col>
      <xdr:colOff>0</xdr:colOff>
      <xdr:row>21</xdr:row>
      <xdr:rowOff>57150</xdr:rowOff>
    </xdr:to>
    <xdr:sp>
      <xdr:nvSpPr>
        <xdr:cNvPr id="38" name="Line 7"/>
        <xdr:cNvSpPr>
          <a:spLocks/>
        </xdr:cNvSpPr>
      </xdr:nvSpPr>
      <xdr:spPr>
        <a:xfrm>
          <a:off x="5915025" y="3314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12</xdr:row>
      <xdr:rowOff>0</xdr:rowOff>
    </xdr:from>
    <xdr:to>
      <xdr:col>15</xdr:col>
      <xdr:colOff>409575</xdr:colOff>
      <xdr:row>19</xdr:row>
      <xdr:rowOff>0</xdr:rowOff>
    </xdr:to>
    <xdr:sp>
      <xdr:nvSpPr>
        <xdr:cNvPr id="39" name="Line 8"/>
        <xdr:cNvSpPr>
          <a:spLocks/>
        </xdr:cNvSpPr>
      </xdr:nvSpPr>
      <xdr:spPr>
        <a:xfrm>
          <a:off x="5619750" y="21526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40" name="Line 10"/>
        <xdr:cNvSpPr>
          <a:spLocks/>
        </xdr:cNvSpPr>
      </xdr:nvSpPr>
      <xdr:spPr>
        <a:xfrm>
          <a:off x="5010150" y="355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12</xdr:row>
      <xdr:rowOff>9525</xdr:rowOff>
    </xdr:from>
    <xdr:to>
      <xdr:col>17</xdr:col>
      <xdr:colOff>133350</xdr:colOff>
      <xdr:row>12</xdr:row>
      <xdr:rowOff>95250</xdr:rowOff>
    </xdr:to>
    <xdr:sp>
      <xdr:nvSpPr>
        <xdr:cNvPr id="41" name="Line 36"/>
        <xdr:cNvSpPr>
          <a:spLocks/>
        </xdr:cNvSpPr>
      </xdr:nvSpPr>
      <xdr:spPr>
        <a:xfrm flipH="1">
          <a:off x="598170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9525</xdr:rowOff>
    </xdr:from>
    <xdr:to>
      <xdr:col>17</xdr:col>
      <xdr:colOff>228600</xdr:colOff>
      <xdr:row>12</xdr:row>
      <xdr:rowOff>95250</xdr:rowOff>
    </xdr:to>
    <xdr:sp>
      <xdr:nvSpPr>
        <xdr:cNvPr id="42" name="Line 37"/>
        <xdr:cNvSpPr>
          <a:spLocks/>
        </xdr:cNvSpPr>
      </xdr:nvSpPr>
      <xdr:spPr>
        <a:xfrm flipH="1">
          <a:off x="607695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12</xdr:row>
      <xdr:rowOff>9525</xdr:rowOff>
    </xdr:from>
    <xdr:to>
      <xdr:col>17</xdr:col>
      <xdr:colOff>180975</xdr:colOff>
      <xdr:row>12</xdr:row>
      <xdr:rowOff>95250</xdr:rowOff>
    </xdr:to>
    <xdr:sp>
      <xdr:nvSpPr>
        <xdr:cNvPr id="43" name="Line 38"/>
        <xdr:cNvSpPr>
          <a:spLocks/>
        </xdr:cNvSpPr>
      </xdr:nvSpPr>
      <xdr:spPr>
        <a:xfrm flipH="1">
          <a:off x="6029325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12</xdr:row>
      <xdr:rowOff>9525</xdr:rowOff>
    </xdr:from>
    <xdr:to>
      <xdr:col>17</xdr:col>
      <xdr:colOff>342900</xdr:colOff>
      <xdr:row>12</xdr:row>
      <xdr:rowOff>95250</xdr:rowOff>
    </xdr:to>
    <xdr:sp>
      <xdr:nvSpPr>
        <xdr:cNvPr id="44" name="Line 39"/>
        <xdr:cNvSpPr>
          <a:spLocks/>
        </xdr:cNvSpPr>
      </xdr:nvSpPr>
      <xdr:spPr>
        <a:xfrm flipH="1">
          <a:off x="619125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12</xdr:row>
      <xdr:rowOff>9525</xdr:rowOff>
    </xdr:from>
    <xdr:to>
      <xdr:col>17</xdr:col>
      <xdr:colOff>390525</xdr:colOff>
      <xdr:row>12</xdr:row>
      <xdr:rowOff>95250</xdr:rowOff>
    </xdr:to>
    <xdr:sp>
      <xdr:nvSpPr>
        <xdr:cNvPr id="45" name="Line 40"/>
        <xdr:cNvSpPr>
          <a:spLocks/>
        </xdr:cNvSpPr>
      </xdr:nvSpPr>
      <xdr:spPr>
        <a:xfrm flipH="1">
          <a:off x="6238875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12</xdr:row>
      <xdr:rowOff>9525</xdr:rowOff>
    </xdr:from>
    <xdr:to>
      <xdr:col>17</xdr:col>
      <xdr:colOff>428625</xdr:colOff>
      <xdr:row>12</xdr:row>
      <xdr:rowOff>95250</xdr:rowOff>
    </xdr:to>
    <xdr:sp>
      <xdr:nvSpPr>
        <xdr:cNvPr id="46" name="Line 41"/>
        <xdr:cNvSpPr>
          <a:spLocks/>
        </xdr:cNvSpPr>
      </xdr:nvSpPr>
      <xdr:spPr>
        <a:xfrm flipH="1">
          <a:off x="6286500" y="2162175"/>
          <a:ext cx="5715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12</xdr:row>
      <xdr:rowOff>9525</xdr:rowOff>
    </xdr:from>
    <xdr:to>
      <xdr:col>17</xdr:col>
      <xdr:colOff>304800</xdr:colOff>
      <xdr:row>12</xdr:row>
      <xdr:rowOff>47625</xdr:rowOff>
    </xdr:to>
    <xdr:sp>
      <xdr:nvSpPr>
        <xdr:cNvPr id="47" name="Line 42"/>
        <xdr:cNvSpPr>
          <a:spLocks/>
        </xdr:cNvSpPr>
      </xdr:nvSpPr>
      <xdr:spPr>
        <a:xfrm>
          <a:off x="6181725" y="2162175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12</xdr:row>
      <xdr:rowOff>28575</xdr:rowOff>
    </xdr:from>
    <xdr:to>
      <xdr:col>17</xdr:col>
      <xdr:colOff>285750</xdr:colOff>
      <xdr:row>12</xdr:row>
      <xdr:rowOff>85725</xdr:rowOff>
    </xdr:to>
    <xdr:sp>
      <xdr:nvSpPr>
        <xdr:cNvPr id="48" name="Line 43"/>
        <xdr:cNvSpPr>
          <a:spLocks/>
        </xdr:cNvSpPr>
      </xdr:nvSpPr>
      <xdr:spPr>
        <a:xfrm>
          <a:off x="6143625" y="2181225"/>
          <a:ext cx="571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12</xdr:row>
      <xdr:rowOff>57150</xdr:rowOff>
    </xdr:from>
    <xdr:to>
      <xdr:col>17</xdr:col>
      <xdr:colOff>238125</xdr:colOff>
      <xdr:row>12</xdr:row>
      <xdr:rowOff>95250</xdr:rowOff>
    </xdr:to>
    <xdr:sp>
      <xdr:nvSpPr>
        <xdr:cNvPr id="49" name="Line 44"/>
        <xdr:cNvSpPr>
          <a:spLocks/>
        </xdr:cNvSpPr>
      </xdr:nvSpPr>
      <xdr:spPr>
        <a:xfrm>
          <a:off x="6115050" y="2209800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161925</xdr:rowOff>
    </xdr:from>
    <xdr:to>
      <xdr:col>17</xdr:col>
      <xdr:colOff>428625</xdr:colOff>
      <xdr:row>11</xdr:row>
      <xdr:rowOff>161925</xdr:rowOff>
    </xdr:to>
    <xdr:sp>
      <xdr:nvSpPr>
        <xdr:cNvPr id="50" name="Line 9"/>
        <xdr:cNvSpPr>
          <a:spLocks/>
        </xdr:cNvSpPr>
      </xdr:nvSpPr>
      <xdr:spPr>
        <a:xfrm>
          <a:off x="5734050" y="21526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8</xdr:row>
      <xdr:rowOff>190500</xdr:rowOff>
    </xdr:from>
    <xdr:to>
      <xdr:col>17</xdr:col>
      <xdr:colOff>428625</xdr:colOff>
      <xdr:row>8</xdr:row>
      <xdr:rowOff>190500</xdr:rowOff>
    </xdr:to>
    <xdr:sp>
      <xdr:nvSpPr>
        <xdr:cNvPr id="51" name="Line 11"/>
        <xdr:cNvSpPr>
          <a:spLocks/>
        </xdr:cNvSpPr>
      </xdr:nvSpPr>
      <xdr:spPr>
        <a:xfrm>
          <a:off x="6115050" y="1666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8</xdr:row>
      <xdr:rowOff>190500</xdr:rowOff>
    </xdr:from>
    <xdr:to>
      <xdr:col>17</xdr:col>
      <xdr:colOff>219075</xdr:colOff>
      <xdr:row>11</xdr:row>
      <xdr:rowOff>161925</xdr:rowOff>
    </xdr:to>
    <xdr:sp>
      <xdr:nvSpPr>
        <xdr:cNvPr id="52" name="Freeform 14"/>
        <xdr:cNvSpPr>
          <a:spLocks/>
        </xdr:cNvSpPr>
      </xdr:nvSpPr>
      <xdr:spPr>
        <a:xfrm>
          <a:off x="5981700" y="1666875"/>
          <a:ext cx="152400" cy="485775"/>
        </a:xfrm>
        <a:custGeom>
          <a:pathLst>
            <a:path h="54" w="16">
              <a:moveTo>
                <a:pt x="13" y="0"/>
              </a:moveTo>
              <a:cubicBezTo>
                <a:pt x="11" y="1"/>
                <a:pt x="10" y="2"/>
                <a:pt x="10" y="5"/>
              </a:cubicBezTo>
              <a:cubicBezTo>
                <a:pt x="10" y="8"/>
                <a:pt x="14" y="13"/>
                <a:pt x="15" y="17"/>
              </a:cubicBezTo>
              <a:cubicBezTo>
                <a:pt x="16" y="21"/>
                <a:pt x="16" y="24"/>
                <a:pt x="15" y="27"/>
              </a:cubicBezTo>
              <a:cubicBezTo>
                <a:pt x="14" y="30"/>
                <a:pt x="9" y="32"/>
                <a:pt x="7" y="34"/>
              </a:cubicBezTo>
              <a:cubicBezTo>
                <a:pt x="5" y="36"/>
                <a:pt x="3" y="37"/>
                <a:pt x="2" y="39"/>
              </a:cubicBezTo>
              <a:cubicBezTo>
                <a:pt x="1" y="41"/>
                <a:pt x="0" y="46"/>
                <a:pt x="1" y="48"/>
              </a:cubicBezTo>
              <a:cubicBezTo>
                <a:pt x="2" y="50"/>
                <a:pt x="5" y="52"/>
                <a:pt x="9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9</xdr:row>
      <xdr:rowOff>161925</xdr:rowOff>
    </xdr:from>
    <xdr:to>
      <xdr:col>17</xdr:col>
      <xdr:colOff>428625</xdr:colOff>
      <xdr:row>9</xdr:row>
      <xdr:rowOff>161925</xdr:rowOff>
    </xdr:to>
    <xdr:sp>
      <xdr:nvSpPr>
        <xdr:cNvPr id="53" name="Line 15"/>
        <xdr:cNvSpPr>
          <a:spLocks/>
        </xdr:cNvSpPr>
      </xdr:nvSpPr>
      <xdr:spPr>
        <a:xfrm>
          <a:off x="5886450" y="182880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190500</xdr:rowOff>
    </xdr:from>
    <xdr:to>
      <xdr:col>15</xdr:col>
      <xdr:colOff>0</xdr:colOff>
      <xdr:row>11</xdr:row>
      <xdr:rowOff>161925</xdr:rowOff>
    </xdr:to>
    <xdr:sp>
      <xdr:nvSpPr>
        <xdr:cNvPr id="54" name="Line 2"/>
        <xdr:cNvSpPr>
          <a:spLocks/>
        </xdr:cNvSpPr>
      </xdr:nvSpPr>
      <xdr:spPr>
        <a:xfrm flipV="1">
          <a:off x="5210175" y="16668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55" name="Line 2"/>
        <xdr:cNvSpPr>
          <a:spLocks/>
        </xdr:cNvSpPr>
      </xdr:nvSpPr>
      <xdr:spPr>
        <a:xfrm>
          <a:off x="5210175" y="1666875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8</xdr:row>
      <xdr:rowOff>190500</xdr:rowOff>
    </xdr:from>
    <xdr:to>
      <xdr:col>16</xdr:col>
      <xdr:colOff>0</xdr:colOff>
      <xdr:row>11</xdr:row>
      <xdr:rowOff>161925</xdr:rowOff>
    </xdr:to>
    <xdr:sp>
      <xdr:nvSpPr>
        <xdr:cNvPr id="56" name="Line 2"/>
        <xdr:cNvSpPr>
          <a:spLocks/>
        </xdr:cNvSpPr>
      </xdr:nvSpPr>
      <xdr:spPr>
        <a:xfrm flipV="1">
          <a:off x="5715000" y="16668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57" name="Line 2"/>
        <xdr:cNvSpPr>
          <a:spLocks/>
        </xdr:cNvSpPr>
      </xdr:nvSpPr>
      <xdr:spPr>
        <a:xfrm>
          <a:off x="7248525" y="21526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19</xdr:row>
      <xdr:rowOff>0</xdr:rowOff>
    </xdr:to>
    <xdr:sp>
      <xdr:nvSpPr>
        <xdr:cNvPr id="58" name="Line 3"/>
        <xdr:cNvSpPr>
          <a:spLocks/>
        </xdr:cNvSpPr>
      </xdr:nvSpPr>
      <xdr:spPr>
        <a:xfrm flipH="1">
          <a:off x="704850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19</xdr:row>
      <xdr:rowOff>0</xdr:rowOff>
    </xdr:to>
    <xdr:sp>
      <xdr:nvSpPr>
        <xdr:cNvPr id="59" name="Line 4"/>
        <xdr:cNvSpPr>
          <a:spLocks/>
        </xdr:cNvSpPr>
      </xdr:nvSpPr>
      <xdr:spPr>
        <a:xfrm>
          <a:off x="775335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23</xdr:col>
      <xdr:colOff>0</xdr:colOff>
      <xdr:row>19</xdr:row>
      <xdr:rowOff>0</xdr:rowOff>
    </xdr:to>
    <xdr:sp>
      <xdr:nvSpPr>
        <xdr:cNvPr id="60" name="Line 5"/>
        <xdr:cNvSpPr>
          <a:spLocks/>
        </xdr:cNvSpPr>
      </xdr:nvSpPr>
      <xdr:spPr>
        <a:xfrm>
          <a:off x="7048500" y="32861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38100</xdr:rowOff>
    </xdr:from>
    <xdr:to>
      <xdr:col>20</xdr:col>
      <xdr:colOff>0</xdr:colOff>
      <xdr:row>21</xdr:row>
      <xdr:rowOff>47625</xdr:rowOff>
    </xdr:to>
    <xdr:sp>
      <xdr:nvSpPr>
        <xdr:cNvPr id="61" name="Line 6"/>
        <xdr:cNvSpPr>
          <a:spLocks/>
        </xdr:cNvSpPr>
      </xdr:nvSpPr>
      <xdr:spPr>
        <a:xfrm>
          <a:off x="7048500" y="3324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28575</xdr:rowOff>
    </xdr:from>
    <xdr:to>
      <xdr:col>23</xdr:col>
      <xdr:colOff>0</xdr:colOff>
      <xdr:row>21</xdr:row>
      <xdr:rowOff>57150</xdr:rowOff>
    </xdr:to>
    <xdr:sp>
      <xdr:nvSpPr>
        <xdr:cNvPr id="62" name="Line 7"/>
        <xdr:cNvSpPr>
          <a:spLocks/>
        </xdr:cNvSpPr>
      </xdr:nvSpPr>
      <xdr:spPr>
        <a:xfrm>
          <a:off x="7953375" y="3314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409575</xdr:colOff>
      <xdr:row>12</xdr:row>
      <xdr:rowOff>0</xdr:rowOff>
    </xdr:from>
    <xdr:to>
      <xdr:col>21</xdr:col>
      <xdr:colOff>409575</xdr:colOff>
      <xdr:row>19</xdr:row>
      <xdr:rowOff>0</xdr:rowOff>
    </xdr:to>
    <xdr:sp>
      <xdr:nvSpPr>
        <xdr:cNvPr id="63" name="Line 8"/>
        <xdr:cNvSpPr>
          <a:spLocks/>
        </xdr:cNvSpPr>
      </xdr:nvSpPr>
      <xdr:spPr>
        <a:xfrm>
          <a:off x="7658100" y="21526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21</xdr:row>
      <xdr:rowOff>0</xdr:rowOff>
    </xdr:to>
    <xdr:sp>
      <xdr:nvSpPr>
        <xdr:cNvPr id="64" name="Line 10"/>
        <xdr:cNvSpPr>
          <a:spLocks/>
        </xdr:cNvSpPr>
      </xdr:nvSpPr>
      <xdr:spPr>
        <a:xfrm>
          <a:off x="7048500" y="355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12</xdr:row>
      <xdr:rowOff>9525</xdr:rowOff>
    </xdr:from>
    <xdr:to>
      <xdr:col>23</xdr:col>
      <xdr:colOff>133350</xdr:colOff>
      <xdr:row>12</xdr:row>
      <xdr:rowOff>95250</xdr:rowOff>
    </xdr:to>
    <xdr:sp>
      <xdr:nvSpPr>
        <xdr:cNvPr id="65" name="Line 36"/>
        <xdr:cNvSpPr>
          <a:spLocks/>
        </xdr:cNvSpPr>
      </xdr:nvSpPr>
      <xdr:spPr>
        <a:xfrm flipH="1">
          <a:off x="802005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161925</xdr:colOff>
      <xdr:row>12</xdr:row>
      <xdr:rowOff>9525</xdr:rowOff>
    </xdr:from>
    <xdr:to>
      <xdr:col>23</xdr:col>
      <xdr:colOff>228600</xdr:colOff>
      <xdr:row>12</xdr:row>
      <xdr:rowOff>95250</xdr:rowOff>
    </xdr:to>
    <xdr:sp>
      <xdr:nvSpPr>
        <xdr:cNvPr id="66" name="Line 37"/>
        <xdr:cNvSpPr>
          <a:spLocks/>
        </xdr:cNvSpPr>
      </xdr:nvSpPr>
      <xdr:spPr>
        <a:xfrm flipH="1">
          <a:off x="811530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12</xdr:row>
      <xdr:rowOff>9525</xdr:rowOff>
    </xdr:from>
    <xdr:to>
      <xdr:col>23</xdr:col>
      <xdr:colOff>180975</xdr:colOff>
      <xdr:row>12</xdr:row>
      <xdr:rowOff>95250</xdr:rowOff>
    </xdr:to>
    <xdr:sp>
      <xdr:nvSpPr>
        <xdr:cNvPr id="67" name="Line 38"/>
        <xdr:cNvSpPr>
          <a:spLocks/>
        </xdr:cNvSpPr>
      </xdr:nvSpPr>
      <xdr:spPr>
        <a:xfrm flipH="1">
          <a:off x="8067675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276225</xdr:colOff>
      <xdr:row>12</xdr:row>
      <xdr:rowOff>9525</xdr:rowOff>
    </xdr:from>
    <xdr:to>
      <xdr:col>23</xdr:col>
      <xdr:colOff>342900</xdr:colOff>
      <xdr:row>12</xdr:row>
      <xdr:rowOff>95250</xdr:rowOff>
    </xdr:to>
    <xdr:sp>
      <xdr:nvSpPr>
        <xdr:cNvPr id="68" name="Line 39"/>
        <xdr:cNvSpPr>
          <a:spLocks/>
        </xdr:cNvSpPr>
      </xdr:nvSpPr>
      <xdr:spPr>
        <a:xfrm flipH="1">
          <a:off x="822960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323850</xdr:colOff>
      <xdr:row>12</xdr:row>
      <xdr:rowOff>9525</xdr:rowOff>
    </xdr:from>
    <xdr:to>
      <xdr:col>23</xdr:col>
      <xdr:colOff>390525</xdr:colOff>
      <xdr:row>12</xdr:row>
      <xdr:rowOff>95250</xdr:rowOff>
    </xdr:to>
    <xdr:sp>
      <xdr:nvSpPr>
        <xdr:cNvPr id="69" name="Line 40"/>
        <xdr:cNvSpPr>
          <a:spLocks/>
        </xdr:cNvSpPr>
      </xdr:nvSpPr>
      <xdr:spPr>
        <a:xfrm flipH="1">
          <a:off x="8277225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371475</xdr:colOff>
      <xdr:row>12</xdr:row>
      <xdr:rowOff>9525</xdr:rowOff>
    </xdr:from>
    <xdr:to>
      <xdr:col>23</xdr:col>
      <xdr:colOff>428625</xdr:colOff>
      <xdr:row>12</xdr:row>
      <xdr:rowOff>95250</xdr:rowOff>
    </xdr:to>
    <xdr:sp>
      <xdr:nvSpPr>
        <xdr:cNvPr id="70" name="Line 41"/>
        <xdr:cNvSpPr>
          <a:spLocks/>
        </xdr:cNvSpPr>
      </xdr:nvSpPr>
      <xdr:spPr>
        <a:xfrm flipH="1">
          <a:off x="8324850" y="2162175"/>
          <a:ext cx="5715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266700</xdr:colOff>
      <xdr:row>12</xdr:row>
      <xdr:rowOff>9525</xdr:rowOff>
    </xdr:from>
    <xdr:to>
      <xdr:col>23</xdr:col>
      <xdr:colOff>304800</xdr:colOff>
      <xdr:row>12</xdr:row>
      <xdr:rowOff>47625</xdr:rowOff>
    </xdr:to>
    <xdr:sp>
      <xdr:nvSpPr>
        <xdr:cNvPr id="71" name="Line 42"/>
        <xdr:cNvSpPr>
          <a:spLocks/>
        </xdr:cNvSpPr>
      </xdr:nvSpPr>
      <xdr:spPr>
        <a:xfrm>
          <a:off x="8220075" y="2162175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12</xdr:row>
      <xdr:rowOff>28575</xdr:rowOff>
    </xdr:from>
    <xdr:to>
      <xdr:col>23</xdr:col>
      <xdr:colOff>285750</xdr:colOff>
      <xdr:row>12</xdr:row>
      <xdr:rowOff>85725</xdr:rowOff>
    </xdr:to>
    <xdr:sp>
      <xdr:nvSpPr>
        <xdr:cNvPr id="72" name="Line 43"/>
        <xdr:cNvSpPr>
          <a:spLocks/>
        </xdr:cNvSpPr>
      </xdr:nvSpPr>
      <xdr:spPr>
        <a:xfrm>
          <a:off x="8181975" y="2181225"/>
          <a:ext cx="571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12</xdr:row>
      <xdr:rowOff>57150</xdr:rowOff>
    </xdr:from>
    <xdr:to>
      <xdr:col>23</xdr:col>
      <xdr:colOff>238125</xdr:colOff>
      <xdr:row>12</xdr:row>
      <xdr:rowOff>95250</xdr:rowOff>
    </xdr:to>
    <xdr:sp>
      <xdr:nvSpPr>
        <xdr:cNvPr id="73" name="Line 44"/>
        <xdr:cNvSpPr>
          <a:spLocks/>
        </xdr:cNvSpPr>
      </xdr:nvSpPr>
      <xdr:spPr>
        <a:xfrm>
          <a:off x="8153400" y="2209800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161925</xdr:rowOff>
    </xdr:from>
    <xdr:to>
      <xdr:col>23</xdr:col>
      <xdr:colOff>428625</xdr:colOff>
      <xdr:row>11</xdr:row>
      <xdr:rowOff>161925</xdr:rowOff>
    </xdr:to>
    <xdr:sp>
      <xdr:nvSpPr>
        <xdr:cNvPr id="74" name="Line 9"/>
        <xdr:cNvSpPr>
          <a:spLocks/>
        </xdr:cNvSpPr>
      </xdr:nvSpPr>
      <xdr:spPr>
        <a:xfrm>
          <a:off x="7772400" y="21526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190500</xdr:rowOff>
    </xdr:from>
    <xdr:to>
      <xdr:col>23</xdr:col>
      <xdr:colOff>428625</xdr:colOff>
      <xdr:row>8</xdr:row>
      <xdr:rowOff>190500</xdr:rowOff>
    </xdr:to>
    <xdr:sp>
      <xdr:nvSpPr>
        <xdr:cNvPr id="75" name="Line 11"/>
        <xdr:cNvSpPr>
          <a:spLocks/>
        </xdr:cNvSpPr>
      </xdr:nvSpPr>
      <xdr:spPr>
        <a:xfrm>
          <a:off x="8153400" y="1666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8</xdr:row>
      <xdr:rowOff>190500</xdr:rowOff>
    </xdr:from>
    <xdr:to>
      <xdr:col>23</xdr:col>
      <xdr:colOff>219075</xdr:colOff>
      <xdr:row>11</xdr:row>
      <xdr:rowOff>161925</xdr:rowOff>
    </xdr:to>
    <xdr:sp>
      <xdr:nvSpPr>
        <xdr:cNvPr id="76" name="Freeform 14"/>
        <xdr:cNvSpPr>
          <a:spLocks/>
        </xdr:cNvSpPr>
      </xdr:nvSpPr>
      <xdr:spPr>
        <a:xfrm>
          <a:off x="8020050" y="1666875"/>
          <a:ext cx="152400" cy="485775"/>
        </a:xfrm>
        <a:custGeom>
          <a:pathLst>
            <a:path h="54" w="16">
              <a:moveTo>
                <a:pt x="13" y="0"/>
              </a:moveTo>
              <a:cubicBezTo>
                <a:pt x="11" y="1"/>
                <a:pt x="10" y="2"/>
                <a:pt x="10" y="5"/>
              </a:cubicBezTo>
              <a:cubicBezTo>
                <a:pt x="10" y="8"/>
                <a:pt x="14" y="13"/>
                <a:pt x="15" y="17"/>
              </a:cubicBezTo>
              <a:cubicBezTo>
                <a:pt x="16" y="21"/>
                <a:pt x="16" y="24"/>
                <a:pt x="15" y="27"/>
              </a:cubicBezTo>
              <a:cubicBezTo>
                <a:pt x="14" y="30"/>
                <a:pt x="9" y="32"/>
                <a:pt x="7" y="34"/>
              </a:cubicBezTo>
              <a:cubicBezTo>
                <a:pt x="5" y="36"/>
                <a:pt x="3" y="37"/>
                <a:pt x="2" y="39"/>
              </a:cubicBezTo>
              <a:cubicBezTo>
                <a:pt x="1" y="41"/>
                <a:pt x="0" y="46"/>
                <a:pt x="1" y="48"/>
              </a:cubicBezTo>
              <a:cubicBezTo>
                <a:pt x="2" y="50"/>
                <a:pt x="5" y="52"/>
                <a:pt x="9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9</xdr:row>
      <xdr:rowOff>161925</xdr:rowOff>
    </xdr:from>
    <xdr:to>
      <xdr:col>23</xdr:col>
      <xdr:colOff>428625</xdr:colOff>
      <xdr:row>9</xdr:row>
      <xdr:rowOff>161925</xdr:rowOff>
    </xdr:to>
    <xdr:sp>
      <xdr:nvSpPr>
        <xdr:cNvPr id="77" name="Line 15"/>
        <xdr:cNvSpPr>
          <a:spLocks/>
        </xdr:cNvSpPr>
      </xdr:nvSpPr>
      <xdr:spPr>
        <a:xfrm>
          <a:off x="7924800" y="182880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190500</xdr:rowOff>
    </xdr:from>
    <xdr:to>
      <xdr:col>21</xdr:col>
      <xdr:colOff>0</xdr:colOff>
      <xdr:row>11</xdr:row>
      <xdr:rowOff>161925</xdr:rowOff>
    </xdr:to>
    <xdr:sp>
      <xdr:nvSpPr>
        <xdr:cNvPr id="78" name="Line 2"/>
        <xdr:cNvSpPr>
          <a:spLocks/>
        </xdr:cNvSpPr>
      </xdr:nvSpPr>
      <xdr:spPr>
        <a:xfrm flipV="1">
          <a:off x="7248525" y="16668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79" name="Line 2"/>
        <xdr:cNvSpPr>
          <a:spLocks/>
        </xdr:cNvSpPr>
      </xdr:nvSpPr>
      <xdr:spPr>
        <a:xfrm>
          <a:off x="7248525" y="1666875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504825</xdr:colOff>
      <xdr:row>8</xdr:row>
      <xdr:rowOff>190500</xdr:rowOff>
    </xdr:from>
    <xdr:to>
      <xdr:col>22</xdr:col>
      <xdr:colOff>0</xdr:colOff>
      <xdr:row>11</xdr:row>
      <xdr:rowOff>161925</xdr:rowOff>
    </xdr:to>
    <xdr:sp>
      <xdr:nvSpPr>
        <xdr:cNvPr id="80" name="Line 2"/>
        <xdr:cNvSpPr>
          <a:spLocks/>
        </xdr:cNvSpPr>
      </xdr:nvSpPr>
      <xdr:spPr>
        <a:xfrm flipV="1">
          <a:off x="7753350" y="16668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81" name="Line 2"/>
        <xdr:cNvSpPr>
          <a:spLocks/>
        </xdr:cNvSpPr>
      </xdr:nvSpPr>
      <xdr:spPr>
        <a:xfrm>
          <a:off x="9286875" y="21526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19</xdr:row>
      <xdr:rowOff>0</xdr:rowOff>
    </xdr:to>
    <xdr:sp>
      <xdr:nvSpPr>
        <xdr:cNvPr id="82" name="Line 3"/>
        <xdr:cNvSpPr>
          <a:spLocks/>
        </xdr:cNvSpPr>
      </xdr:nvSpPr>
      <xdr:spPr>
        <a:xfrm flipH="1">
          <a:off x="908685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19</xdr:row>
      <xdr:rowOff>0</xdr:rowOff>
    </xdr:to>
    <xdr:sp>
      <xdr:nvSpPr>
        <xdr:cNvPr id="83" name="Line 4"/>
        <xdr:cNvSpPr>
          <a:spLocks/>
        </xdr:cNvSpPr>
      </xdr:nvSpPr>
      <xdr:spPr>
        <a:xfrm>
          <a:off x="9791700" y="215265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29</xdr:col>
      <xdr:colOff>0</xdr:colOff>
      <xdr:row>19</xdr:row>
      <xdr:rowOff>0</xdr:rowOff>
    </xdr:to>
    <xdr:sp>
      <xdr:nvSpPr>
        <xdr:cNvPr id="84" name="Line 5"/>
        <xdr:cNvSpPr>
          <a:spLocks/>
        </xdr:cNvSpPr>
      </xdr:nvSpPr>
      <xdr:spPr>
        <a:xfrm>
          <a:off x="9086850" y="32861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38100</xdr:rowOff>
    </xdr:from>
    <xdr:to>
      <xdr:col>26</xdr:col>
      <xdr:colOff>0</xdr:colOff>
      <xdr:row>21</xdr:row>
      <xdr:rowOff>47625</xdr:rowOff>
    </xdr:to>
    <xdr:sp>
      <xdr:nvSpPr>
        <xdr:cNvPr id="85" name="Line 6"/>
        <xdr:cNvSpPr>
          <a:spLocks/>
        </xdr:cNvSpPr>
      </xdr:nvSpPr>
      <xdr:spPr>
        <a:xfrm>
          <a:off x="9086850" y="3324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28575</xdr:rowOff>
    </xdr:from>
    <xdr:to>
      <xdr:col>29</xdr:col>
      <xdr:colOff>0</xdr:colOff>
      <xdr:row>21</xdr:row>
      <xdr:rowOff>57150</xdr:rowOff>
    </xdr:to>
    <xdr:sp>
      <xdr:nvSpPr>
        <xdr:cNvPr id="86" name="Line 7"/>
        <xdr:cNvSpPr>
          <a:spLocks/>
        </xdr:cNvSpPr>
      </xdr:nvSpPr>
      <xdr:spPr>
        <a:xfrm>
          <a:off x="9991725" y="3314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409575</xdr:colOff>
      <xdr:row>12</xdr:row>
      <xdr:rowOff>0</xdr:rowOff>
    </xdr:from>
    <xdr:to>
      <xdr:col>27</xdr:col>
      <xdr:colOff>409575</xdr:colOff>
      <xdr:row>19</xdr:row>
      <xdr:rowOff>0</xdr:rowOff>
    </xdr:to>
    <xdr:sp>
      <xdr:nvSpPr>
        <xdr:cNvPr id="87" name="Line 8"/>
        <xdr:cNvSpPr>
          <a:spLocks/>
        </xdr:cNvSpPr>
      </xdr:nvSpPr>
      <xdr:spPr>
        <a:xfrm>
          <a:off x="9696450" y="21526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29</xdr:col>
      <xdr:colOff>0</xdr:colOff>
      <xdr:row>21</xdr:row>
      <xdr:rowOff>0</xdr:rowOff>
    </xdr:to>
    <xdr:sp>
      <xdr:nvSpPr>
        <xdr:cNvPr id="88" name="Line 10"/>
        <xdr:cNvSpPr>
          <a:spLocks/>
        </xdr:cNvSpPr>
      </xdr:nvSpPr>
      <xdr:spPr>
        <a:xfrm>
          <a:off x="9086850" y="35528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12</xdr:row>
      <xdr:rowOff>9525</xdr:rowOff>
    </xdr:from>
    <xdr:to>
      <xdr:col>29</xdr:col>
      <xdr:colOff>133350</xdr:colOff>
      <xdr:row>12</xdr:row>
      <xdr:rowOff>95250</xdr:rowOff>
    </xdr:to>
    <xdr:sp>
      <xdr:nvSpPr>
        <xdr:cNvPr id="89" name="Line 36"/>
        <xdr:cNvSpPr>
          <a:spLocks/>
        </xdr:cNvSpPr>
      </xdr:nvSpPr>
      <xdr:spPr>
        <a:xfrm flipH="1">
          <a:off x="1005840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12</xdr:row>
      <xdr:rowOff>9525</xdr:rowOff>
    </xdr:from>
    <xdr:to>
      <xdr:col>29</xdr:col>
      <xdr:colOff>228600</xdr:colOff>
      <xdr:row>12</xdr:row>
      <xdr:rowOff>95250</xdr:rowOff>
    </xdr:to>
    <xdr:sp>
      <xdr:nvSpPr>
        <xdr:cNvPr id="90" name="Line 37"/>
        <xdr:cNvSpPr>
          <a:spLocks/>
        </xdr:cNvSpPr>
      </xdr:nvSpPr>
      <xdr:spPr>
        <a:xfrm flipH="1">
          <a:off x="1015365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12</xdr:row>
      <xdr:rowOff>9525</xdr:rowOff>
    </xdr:from>
    <xdr:to>
      <xdr:col>29</xdr:col>
      <xdr:colOff>180975</xdr:colOff>
      <xdr:row>12</xdr:row>
      <xdr:rowOff>95250</xdr:rowOff>
    </xdr:to>
    <xdr:sp>
      <xdr:nvSpPr>
        <xdr:cNvPr id="91" name="Line 38"/>
        <xdr:cNvSpPr>
          <a:spLocks/>
        </xdr:cNvSpPr>
      </xdr:nvSpPr>
      <xdr:spPr>
        <a:xfrm flipH="1">
          <a:off x="10106025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276225</xdr:colOff>
      <xdr:row>12</xdr:row>
      <xdr:rowOff>9525</xdr:rowOff>
    </xdr:from>
    <xdr:to>
      <xdr:col>29</xdr:col>
      <xdr:colOff>342900</xdr:colOff>
      <xdr:row>12</xdr:row>
      <xdr:rowOff>95250</xdr:rowOff>
    </xdr:to>
    <xdr:sp>
      <xdr:nvSpPr>
        <xdr:cNvPr id="92" name="Line 39"/>
        <xdr:cNvSpPr>
          <a:spLocks/>
        </xdr:cNvSpPr>
      </xdr:nvSpPr>
      <xdr:spPr>
        <a:xfrm flipH="1">
          <a:off x="10267950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323850</xdr:colOff>
      <xdr:row>12</xdr:row>
      <xdr:rowOff>9525</xdr:rowOff>
    </xdr:from>
    <xdr:to>
      <xdr:col>29</xdr:col>
      <xdr:colOff>390525</xdr:colOff>
      <xdr:row>12</xdr:row>
      <xdr:rowOff>95250</xdr:rowOff>
    </xdr:to>
    <xdr:sp>
      <xdr:nvSpPr>
        <xdr:cNvPr id="93" name="Line 40"/>
        <xdr:cNvSpPr>
          <a:spLocks/>
        </xdr:cNvSpPr>
      </xdr:nvSpPr>
      <xdr:spPr>
        <a:xfrm flipH="1">
          <a:off x="10315575" y="216217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371475</xdr:colOff>
      <xdr:row>12</xdr:row>
      <xdr:rowOff>9525</xdr:rowOff>
    </xdr:from>
    <xdr:to>
      <xdr:col>29</xdr:col>
      <xdr:colOff>428625</xdr:colOff>
      <xdr:row>12</xdr:row>
      <xdr:rowOff>95250</xdr:rowOff>
    </xdr:to>
    <xdr:sp>
      <xdr:nvSpPr>
        <xdr:cNvPr id="94" name="Line 41"/>
        <xdr:cNvSpPr>
          <a:spLocks/>
        </xdr:cNvSpPr>
      </xdr:nvSpPr>
      <xdr:spPr>
        <a:xfrm flipH="1">
          <a:off x="10363200" y="2162175"/>
          <a:ext cx="5715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12</xdr:row>
      <xdr:rowOff>9525</xdr:rowOff>
    </xdr:from>
    <xdr:to>
      <xdr:col>29</xdr:col>
      <xdr:colOff>304800</xdr:colOff>
      <xdr:row>12</xdr:row>
      <xdr:rowOff>47625</xdr:rowOff>
    </xdr:to>
    <xdr:sp>
      <xdr:nvSpPr>
        <xdr:cNvPr id="95" name="Line 42"/>
        <xdr:cNvSpPr>
          <a:spLocks/>
        </xdr:cNvSpPr>
      </xdr:nvSpPr>
      <xdr:spPr>
        <a:xfrm>
          <a:off x="10258425" y="2162175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228600</xdr:colOff>
      <xdr:row>12</xdr:row>
      <xdr:rowOff>28575</xdr:rowOff>
    </xdr:from>
    <xdr:to>
      <xdr:col>29</xdr:col>
      <xdr:colOff>285750</xdr:colOff>
      <xdr:row>12</xdr:row>
      <xdr:rowOff>85725</xdr:rowOff>
    </xdr:to>
    <xdr:sp>
      <xdr:nvSpPr>
        <xdr:cNvPr id="96" name="Line 43"/>
        <xdr:cNvSpPr>
          <a:spLocks/>
        </xdr:cNvSpPr>
      </xdr:nvSpPr>
      <xdr:spPr>
        <a:xfrm>
          <a:off x="10220325" y="2181225"/>
          <a:ext cx="571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12</xdr:row>
      <xdr:rowOff>57150</xdr:rowOff>
    </xdr:from>
    <xdr:to>
      <xdr:col>29</xdr:col>
      <xdr:colOff>238125</xdr:colOff>
      <xdr:row>12</xdr:row>
      <xdr:rowOff>95250</xdr:rowOff>
    </xdr:to>
    <xdr:sp>
      <xdr:nvSpPr>
        <xdr:cNvPr id="97" name="Line 44"/>
        <xdr:cNvSpPr>
          <a:spLocks/>
        </xdr:cNvSpPr>
      </xdr:nvSpPr>
      <xdr:spPr>
        <a:xfrm>
          <a:off x="10191750" y="2209800"/>
          <a:ext cx="381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161925</xdr:rowOff>
    </xdr:from>
    <xdr:to>
      <xdr:col>29</xdr:col>
      <xdr:colOff>428625</xdr:colOff>
      <xdr:row>11</xdr:row>
      <xdr:rowOff>161925</xdr:rowOff>
    </xdr:to>
    <xdr:sp>
      <xdr:nvSpPr>
        <xdr:cNvPr id="98" name="Line 9"/>
        <xdr:cNvSpPr>
          <a:spLocks/>
        </xdr:cNvSpPr>
      </xdr:nvSpPr>
      <xdr:spPr>
        <a:xfrm>
          <a:off x="9810750" y="21526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8</xdr:row>
      <xdr:rowOff>190500</xdr:rowOff>
    </xdr:from>
    <xdr:to>
      <xdr:col>29</xdr:col>
      <xdr:colOff>428625</xdr:colOff>
      <xdr:row>8</xdr:row>
      <xdr:rowOff>190500</xdr:rowOff>
    </xdr:to>
    <xdr:sp>
      <xdr:nvSpPr>
        <xdr:cNvPr id="99" name="Line 11"/>
        <xdr:cNvSpPr>
          <a:spLocks/>
        </xdr:cNvSpPr>
      </xdr:nvSpPr>
      <xdr:spPr>
        <a:xfrm>
          <a:off x="10191750" y="1666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8</xdr:row>
      <xdr:rowOff>190500</xdr:rowOff>
    </xdr:from>
    <xdr:to>
      <xdr:col>29</xdr:col>
      <xdr:colOff>219075</xdr:colOff>
      <xdr:row>11</xdr:row>
      <xdr:rowOff>161925</xdr:rowOff>
    </xdr:to>
    <xdr:sp>
      <xdr:nvSpPr>
        <xdr:cNvPr id="100" name="Freeform 14"/>
        <xdr:cNvSpPr>
          <a:spLocks/>
        </xdr:cNvSpPr>
      </xdr:nvSpPr>
      <xdr:spPr>
        <a:xfrm>
          <a:off x="10058400" y="1666875"/>
          <a:ext cx="152400" cy="485775"/>
        </a:xfrm>
        <a:custGeom>
          <a:pathLst>
            <a:path h="54" w="16">
              <a:moveTo>
                <a:pt x="13" y="0"/>
              </a:moveTo>
              <a:cubicBezTo>
                <a:pt x="11" y="1"/>
                <a:pt x="10" y="2"/>
                <a:pt x="10" y="5"/>
              </a:cubicBezTo>
              <a:cubicBezTo>
                <a:pt x="10" y="8"/>
                <a:pt x="14" y="13"/>
                <a:pt x="15" y="17"/>
              </a:cubicBezTo>
              <a:cubicBezTo>
                <a:pt x="16" y="21"/>
                <a:pt x="16" y="24"/>
                <a:pt x="15" y="27"/>
              </a:cubicBezTo>
              <a:cubicBezTo>
                <a:pt x="14" y="30"/>
                <a:pt x="9" y="32"/>
                <a:pt x="7" y="34"/>
              </a:cubicBezTo>
              <a:cubicBezTo>
                <a:pt x="5" y="36"/>
                <a:pt x="3" y="37"/>
                <a:pt x="2" y="39"/>
              </a:cubicBezTo>
              <a:cubicBezTo>
                <a:pt x="1" y="41"/>
                <a:pt x="0" y="46"/>
                <a:pt x="1" y="48"/>
              </a:cubicBezTo>
              <a:cubicBezTo>
                <a:pt x="2" y="50"/>
                <a:pt x="5" y="52"/>
                <a:pt x="9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9</xdr:row>
      <xdr:rowOff>161925</xdr:rowOff>
    </xdr:from>
    <xdr:to>
      <xdr:col>29</xdr:col>
      <xdr:colOff>428625</xdr:colOff>
      <xdr:row>9</xdr:row>
      <xdr:rowOff>161925</xdr:rowOff>
    </xdr:to>
    <xdr:sp>
      <xdr:nvSpPr>
        <xdr:cNvPr id="101" name="Line 15"/>
        <xdr:cNvSpPr>
          <a:spLocks/>
        </xdr:cNvSpPr>
      </xdr:nvSpPr>
      <xdr:spPr>
        <a:xfrm>
          <a:off x="9963150" y="182880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11</xdr:row>
      <xdr:rowOff>161925</xdr:rowOff>
    </xdr:to>
    <xdr:sp>
      <xdr:nvSpPr>
        <xdr:cNvPr id="102" name="Line 2"/>
        <xdr:cNvSpPr>
          <a:spLocks/>
        </xdr:cNvSpPr>
      </xdr:nvSpPr>
      <xdr:spPr>
        <a:xfrm flipV="1">
          <a:off x="9286875" y="1476375"/>
          <a:ext cx="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103" name="Line 2"/>
        <xdr:cNvSpPr>
          <a:spLocks/>
        </xdr:cNvSpPr>
      </xdr:nvSpPr>
      <xdr:spPr>
        <a:xfrm>
          <a:off x="9286875" y="1476375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504825</xdr:colOff>
      <xdr:row>8</xdr:row>
      <xdr:rowOff>0</xdr:rowOff>
    </xdr:from>
    <xdr:to>
      <xdr:col>28</xdr:col>
      <xdr:colOff>0</xdr:colOff>
      <xdr:row>11</xdr:row>
      <xdr:rowOff>161925</xdr:rowOff>
    </xdr:to>
    <xdr:sp>
      <xdr:nvSpPr>
        <xdr:cNvPr id="104" name="Line 2"/>
        <xdr:cNvSpPr>
          <a:spLocks/>
        </xdr:cNvSpPr>
      </xdr:nvSpPr>
      <xdr:spPr>
        <a:xfrm flipV="1">
          <a:off x="9791700" y="1476375"/>
          <a:ext cx="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95550" y="933450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95550" y="933450"/>
          <a:ext cx="166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24025" y="1905000"/>
          <a:ext cx="77152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" y="4657725"/>
          <a:ext cx="3609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362325" y="1905000"/>
          <a:ext cx="80010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2495550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4162425" y="933450"/>
          <a:ext cx="0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4486275" y="1905000"/>
          <a:ext cx="84772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4486275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362325" y="19050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4162425" y="933450"/>
          <a:ext cx="3238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>
          <a:off x="249555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>
          <a:off x="3362325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162425" y="19050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6300" y="9334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76300" y="19050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76300" y="4657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9060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90600" y="9334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38</xdr:row>
      <xdr:rowOff>0</xdr:rowOff>
    </xdr:to>
    <xdr:sp>
      <xdr:nvSpPr>
        <xdr:cNvPr id="20" name="Line 20"/>
        <xdr:cNvSpPr>
          <a:spLocks/>
        </xdr:cNvSpPr>
      </xdr:nvSpPr>
      <xdr:spPr>
        <a:xfrm>
          <a:off x="1724025" y="47148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2495550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4162425" y="48768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5362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>
          <a:off x="2495550" y="5362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3362325" y="5362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>
          <a:off x="1724025" y="58007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3362325" y="12573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18</xdr:row>
      <xdr:rowOff>28575</xdr:rowOff>
    </xdr:from>
    <xdr:to>
      <xdr:col>7</xdr:col>
      <xdr:colOff>428625</xdr:colOff>
      <xdr:row>21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2924175" y="30670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38100</xdr:rowOff>
    </xdr:from>
    <xdr:to>
      <xdr:col>5</xdr:col>
      <xdr:colOff>447675</xdr:colOff>
      <xdr:row>27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2171700" y="40481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18</xdr:row>
      <xdr:rowOff>9525</xdr:rowOff>
    </xdr:from>
    <xdr:to>
      <xdr:col>8</xdr:col>
      <xdr:colOff>600075</xdr:colOff>
      <xdr:row>21</xdr:row>
      <xdr:rowOff>9525</xdr:rowOff>
    </xdr:to>
    <xdr:sp>
      <xdr:nvSpPr>
        <xdr:cNvPr id="31" name="Line 31"/>
        <xdr:cNvSpPr>
          <a:spLocks/>
        </xdr:cNvSpPr>
      </xdr:nvSpPr>
      <xdr:spPr>
        <a:xfrm>
          <a:off x="3962400" y="30480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24</xdr:row>
      <xdr:rowOff>28575</xdr:rowOff>
    </xdr:from>
    <xdr:to>
      <xdr:col>8</xdr:col>
      <xdr:colOff>323850</xdr:colOff>
      <xdr:row>27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3686175" y="40386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33" name="Line 33"/>
        <xdr:cNvSpPr>
          <a:spLocks/>
        </xdr:cNvSpPr>
      </xdr:nvSpPr>
      <xdr:spPr>
        <a:xfrm>
          <a:off x="4667250" y="4333875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23</xdr:row>
      <xdr:rowOff>0</xdr:rowOff>
    </xdr:from>
    <xdr:to>
      <xdr:col>10</xdr:col>
      <xdr:colOff>104775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>
          <a:off x="4048125" y="384810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7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85925" y="771525"/>
          <a:ext cx="638175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685925" y="4657725"/>
          <a:ext cx="20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10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914650" y="771525"/>
          <a:ext cx="809625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324100" y="771525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2324100" y="771525"/>
          <a:ext cx="0" cy="388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2914650" y="771525"/>
          <a:ext cx="0" cy="388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781050" y="7715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781050" y="4657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95350" y="771525"/>
          <a:ext cx="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1685925" y="47148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2324100" y="47148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2914650" y="47148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38100</xdr:rowOff>
    </xdr:from>
    <xdr:to>
      <xdr:col>10</xdr:col>
      <xdr:colOff>0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3724275" y="46958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>
          <a:off x="1685925" y="52006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2324100" y="5200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9</xdr:col>
      <xdr:colOff>485775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2914650" y="5200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1685925" y="56388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11</xdr:row>
      <xdr:rowOff>28575</xdr:rowOff>
    </xdr:from>
    <xdr:to>
      <xdr:col>7</xdr:col>
      <xdr:colOff>304800</xdr:colOff>
      <xdr:row>14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2628900" y="193357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28575</xdr:rowOff>
    </xdr:from>
    <xdr:to>
      <xdr:col>5</xdr:col>
      <xdr:colOff>342900</xdr:colOff>
      <xdr:row>27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2028825" y="40386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47625</xdr:rowOff>
    </xdr:from>
    <xdr:to>
      <xdr:col>9</xdr:col>
      <xdr:colOff>200025</xdr:colOff>
      <xdr:row>27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3400425" y="40576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724275" y="771525"/>
          <a:ext cx="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3152775" y="19050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0</xdr:rowOff>
    </xdr:from>
    <xdr:to>
      <xdr:col>8</xdr:col>
      <xdr:colOff>238125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3152775" y="7715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4248150" y="771525"/>
          <a:ext cx="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4248150" y="1905000"/>
          <a:ext cx="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4248150" y="46577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4248150" y="19050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28</xdr:row>
      <xdr:rowOff>0</xdr:rowOff>
    </xdr:to>
    <xdr:sp>
      <xdr:nvSpPr>
        <xdr:cNvPr id="28" name="Line 28"/>
        <xdr:cNvSpPr>
          <a:spLocks/>
        </xdr:cNvSpPr>
      </xdr:nvSpPr>
      <xdr:spPr>
        <a:xfrm>
          <a:off x="4248150" y="1905000"/>
          <a:ext cx="64770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4248150" y="771525"/>
          <a:ext cx="32385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14</xdr:col>
      <xdr:colOff>0</xdr:colOff>
      <xdr:row>28</xdr:row>
      <xdr:rowOff>0</xdr:rowOff>
    </xdr:to>
    <xdr:sp>
      <xdr:nvSpPr>
        <xdr:cNvPr id="30" name="Line 30"/>
        <xdr:cNvSpPr>
          <a:spLocks/>
        </xdr:cNvSpPr>
      </xdr:nvSpPr>
      <xdr:spPr>
        <a:xfrm>
          <a:off x="4572000" y="1905000"/>
          <a:ext cx="64770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19</xdr:row>
      <xdr:rowOff>0</xdr:rowOff>
    </xdr:from>
    <xdr:to>
      <xdr:col>13</xdr:col>
      <xdr:colOff>38100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4400550" y="3200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447675</xdr:colOff>
      <xdr:row>24</xdr:row>
      <xdr:rowOff>0</xdr:rowOff>
    </xdr:from>
    <xdr:to>
      <xdr:col>12</xdr:col>
      <xdr:colOff>123825</xdr:colOff>
      <xdr:row>24</xdr:row>
      <xdr:rowOff>0</xdr:rowOff>
    </xdr:to>
    <xdr:sp>
      <xdr:nvSpPr>
        <xdr:cNvPr id="32" name="Line 32"/>
        <xdr:cNvSpPr>
          <a:spLocks/>
        </xdr:cNvSpPr>
      </xdr:nvSpPr>
      <xdr:spPr>
        <a:xfrm>
          <a:off x="4171950" y="4010025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5410200" y="771525"/>
          <a:ext cx="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>
          <a:off x="5410200" y="1905000"/>
          <a:ext cx="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35" name="Line 35"/>
        <xdr:cNvSpPr>
          <a:spLocks/>
        </xdr:cNvSpPr>
      </xdr:nvSpPr>
      <xdr:spPr>
        <a:xfrm>
          <a:off x="5410200" y="46577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5410200" y="19050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19050</xdr:rowOff>
    </xdr:from>
    <xdr:to>
      <xdr:col>16</xdr:col>
      <xdr:colOff>314325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410200" y="1924050"/>
          <a:ext cx="638175" cy="2733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5410200" y="771525"/>
          <a:ext cx="32385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0</xdr:colOff>
      <xdr:row>28</xdr:row>
      <xdr:rowOff>0</xdr:rowOff>
    </xdr:to>
    <xdr:sp>
      <xdr:nvSpPr>
        <xdr:cNvPr id="39" name="Line 39"/>
        <xdr:cNvSpPr>
          <a:spLocks/>
        </xdr:cNvSpPr>
      </xdr:nvSpPr>
      <xdr:spPr>
        <a:xfrm>
          <a:off x="5734050" y="1905000"/>
          <a:ext cx="64770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19</xdr:row>
      <xdr:rowOff>0</xdr:rowOff>
    </xdr:from>
    <xdr:to>
      <xdr:col>17</xdr:col>
      <xdr:colOff>38100</xdr:colOff>
      <xdr:row>19</xdr:row>
      <xdr:rowOff>0</xdr:rowOff>
    </xdr:to>
    <xdr:sp>
      <xdr:nvSpPr>
        <xdr:cNvPr id="40" name="Line 40"/>
        <xdr:cNvSpPr>
          <a:spLocks/>
        </xdr:cNvSpPr>
      </xdr:nvSpPr>
      <xdr:spPr>
        <a:xfrm>
          <a:off x="5562600" y="3200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24</xdr:row>
      <xdr:rowOff>0</xdr:rowOff>
    </xdr:from>
    <xdr:to>
      <xdr:col>16</xdr:col>
      <xdr:colOff>123825</xdr:colOff>
      <xdr:row>24</xdr:row>
      <xdr:rowOff>0</xdr:rowOff>
    </xdr:to>
    <xdr:sp>
      <xdr:nvSpPr>
        <xdr:cNvPr id="41" name="Line 41"/>
        <xdr:cNvSpPr>
          <a:spLocks/>
        </xdr:cNvSpPr>
      </xdr:nvSpPr>
      <xdr:spPr>
        <a:xfrm>
          <a:off x="5410200" y="401002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6057900" y="19050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43" name="Line 43"/>
        <xdr:cNvSpPr>
          <a:spLocks/>
        </xdr:cNvSpPr>
      </xdr:nvSpPr>
      <xdr:spPr>
        <a:xfrm>
          <a:off x="6496050" y="4657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6953250" y="7715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28</xdr:row>
      <xdr:rowOff>0</xdr:rowOff>
    </xdr:to>
    <xdr:sp>
      <xdr:nvSpPr>
        <xdr:cNvPr id="45" name="Line 45"/>
        <xdr:cNvSpPr>
          <a:spLocks/>
        </xdr:cNvSpPr>
      </xdr:nvSpPr>
      <xdr:spPr>
        <a:xfrm>
          <a:off x="695325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19</xdr:row>
      <xdr:rowOff>19050</xdr:rowOff>
    </xdr:from>
    <xdr:to>
      <xdr:col>9</xdr:col>
      <xdr:colOff>390525</xdr:colOff>
      <xdr:row>22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3590925" y="32194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14</xdr:row>
      <xdr:rowOff>47625</xdr:rowOff>
    </xdr:from>
    <xdr:to>
      <xdr:col>9</xdr:col>
      <xdr:colOff>276225</xdr:colOff>
      <xdr:row>17</xdr:row>
      <xdr:rowOff>47625</xdr:rowOff>
    </xdr:to>
    <xdr:sp>
      <xdr:nvSpPr>
        <xdr:cNvPr id="47" name="Line 47"/>
        <xdr:cNvSpPr>
          <a:spLocks/>
        </xdr:cNvSpPr>
      </xdr:nvSpPr>
      <xdr:spPr>
        <a:xfrm>
          <a:off x="3476625" y="24384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4</xdr:row>
      <xdr:rowOff>57150</xdr:rowOff>
    </xdr:from>
    <xdr:to>
      <xdr:col>9</xdr:col>
      <xdr:colOff>409575</xdr:colOff>
      <xdr:row>7</xdr:row>
      <xdr:rowOff>57150</xdr:rowOff>
    </xdr:to>
    <xdr:sp>
      <xdr:nvSpPr>
        <xdr:cNvPr id="48" name="Line 48"/>
        <xdr:cNvSpPr>
          <a:spLocks/>
        </xdr:cNvSpPr>
      </xdr:nvSpPr>
      <xdr:spPr>
        <a:xfrm>
          <a:off x="3609975" y="82867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</xdr:row>
      <xdr:rowOff>57150</xdr:rowOff>
    </xdr:from>
    <xdr:to>
      <xdr:col>8</xdr:col>
      <xdr:colOff>142875</xdr:colOff>
      <xdr:row>7</xdr:row>
      <xdr:rowOff>57150</xdr:rowOff>
    </xdr:to>
    <xdr:sp>
      <xdr:nvSpPr>
        <xdr:cNvPr id="49" name="Line 49"/>
        <xdr:cNvSpPr>
          <a:spLocks/>
        </xdr:cNvSpPr>
      </xdr:nvSpPr>
      <xdr:spPr>
        <a:xfrm>
          <a:off x="3057525" y="82867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0</xdr:rowOff>
    </xdr:from>
    <xdr:to>
      <xdr:col>7</xdr:col>
      <xdr:colOff>0</xdr:colOff>
      <xdr:row>31</xdr:row>
      <xdr:rowOff>0</xdr:rowOff>
    </xdr:to>
    <xdr:sp>
      <xdr:nvSpPr>
        <xdr:cNvPr id="1" name="Line 52"/>
        <xdr:cNvSpPr>
          <a:spLocks/>
        </xdr:cNvSpPr>
      </xdr:nvSpPr>
      <xdr:spPr>
        <a:xfrm flipH="1">
          <a:off x="1685925" y="2362200"/>
          <a:ext cx="638175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" name="Line 53"/>
        <xdr:cNvSpPr>
          <a:spLocks/>
        </xdr:cNvSpPr>
      </xdr:nvSpPr>
      <xdr:spPr>
        <a:xfrm>
          <a:off x="1685925" y="4953000"/>
          <a:ext cx="20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31</xdr:row>
      <xdr:rowOff>0</xdr:rowOff>
    </xdr:to>
    <xdr:sp>
      <xdr:nvSpPr>
        <xdr:cNvPr id="3" name="Line 54"/>
        <xdr:cNvSpPr>
          <a:spLocks/>
        </xdr:cNvSpPr>
      </xdr:nvSpPr>
      <xdr:spPr>
        <a:xfrm flipH="1" flipV="1">
          <a:off x="2914650" y="2362200"/>
          <a:ext cx="809625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" name="Line 55"/>
        <xdr:cNvSpPr>
          <a:spLocks/>
        </xdr:cNvSpPr>
      </xdr:nvSpPr>
      <xdr:spPr>
        <a:xfrm>
          <a:off x="2324100" y="23622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31</xdr:row>
      <xdr:rowOff>0</xdr:rowOff>
    </xdr:to>
    <xdr:sp>
      <xdr:nvSpPr>
        <xdr:cNvPr id="5" name="Line 56"/>
        <xdr:cNvSpPr>
          <a:spLocks/>
        </xdr:cNvSpPr>
      </xdr:nvSpPr>
      <xdr:spPr>
        <a:xfrm>
          <a:off x="232410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31</xdr:row>
      <xdr:rowOff>0</xdr:rowOff>
    </xdr:to>
    <xdr:sp>
      <xdr:nvSpPr>
        <xdr:cNvPr id="6" name="Line 57"/>
        <xdr:cNvSpPr>
          <a:spLocks/>
        </xdr:cNvSpPr>
      </xdr:nvSpPr>
      <xdr:spPr>
        <a:xfrm>
          <a:off x="29146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Line 58"/>
        <xdr:cNvSpPr>
          <a:spLocks/>
        </xdr:cNvSpPr>
      </xdr:nvSpPr>
      <xdr:spPr>
        <a:xfrm flipH="1">
          <a:off x="781050" y="83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" name="Line 59"/>
        <xdr:cNvSpPr>
          <a:spLocks/>
        </xdr:cNvSpPr>
      </xdr:nvSpPr>
      <xdr:spPr>
        <a:xfrm flipH="1">
          <a:off x="781050" y="4953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31</xdr:row>
      <xdr:rowOff>0</xdr:rowOff>
    </xdr:to>
    <xdr:sp>
      <xdr:nvSpPr>
        <xdr:cNvPr id="9" name="Line 60"/>
        <xdr:cNvSpPr>
          <a:spLocks/>
        </xdr:cNvSpPr>
      </xdr:nvSpPr>
      <xdr:spPr>
        <a:xfrm flipV="1">
          <a:off x="8953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40</xdr:row>
      <xdr:rowOff>0</xdr:rowOff>
    </xdr:to>
    <xdr:sp>
      <xdr:nvSpPr>
        <xdr:cNvPr id="10" name="Line 61"/>
        <xdr:cNvSpPr>
          <a:spLocks/>
        </xdr:cNvSpPr>
      </xdr:nvSpPr>
      <xdr:spPr>
        <a:xfrm>
          <a:off x="1685925" y="50101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36</xdr:row>
      <xdr:rowOff>0</xdr:rowOff>
    </xdr:to>
    <xdr:sp>
      <xdr:nvSpPr>
        <xdr:cNvPr id="11" name="Line 62"/>
        <xdr:cNvSpPr>
          <a:spLocks/>
        </xdr:cNvSpPr>
      </xdr:nvSpPr>
      <xdr:spPr>
        <a:xfrm>
          <a:off x="23241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36</xdr:row>
      <xdr:rowOff>0</xdr:rowOff>
    </xdr:to>
    <xdr:sp>
      <xdr:nvSpPr>
        <xdr:cNvPr id="12" name="Line 63"/>
        <xdr:cNvSpPr>
          <a:spLocks/>
        </xdr:cNvSpPr>
      </xdr:nvSpPr>
      <xdr:spPr>
        <a:xfrm>
          <a:off x="29146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38100</xdr:rowOff>
    </xdr:from>
    <xdr:to>
      <xdr:col>10</xdr:col>
      <xdr:colOff>0</xdr:colOff>
      <xdr:row>40</xdr:row>
      <xdr:rowOff>0</xdr:rowOff>
    </xdr:to>
    <xdr:sp>
      <xdr:nvSpPr>
        <xdr:cNvPr id="13" name="Line 64"/>
        <xdr:cNvSpPr>
          <a:spLocks/>
        </xdr:cNvSpPr>
      </xdr:nvSpPr>
      <xdr:spPr>
        <a:xfrm>
          <a:off x="3724275" y="49911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" name="Line 65"/>
        <xdr:cNvSpPr>
          <a:spLocks/>
        </xdr:cNvSpPr>
      </xdr:nvSpPr>
      <xdr:spPr>
        <a:xfrm>
          <a:off x="1685925" y="54673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Line 66"/>
        <xdr:cNvSpPr>
          <a:spLocks/>
        </xdr:cNvSpPr>
      </xdr:nvSpPr>
      <xdr:spPr>
        <a:xfrm>
          <a:off x="2324100" y="5467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476250</xdr:colOff>
      <xdr:row>35</xdr:row>
      <xdr:rowOff>0</xdr:rowOff>
    </xdr:to>
    <xdr:sp>
      <xdr:nvSpPr>
        <xdr:cNvPr id="16" name="Line 67"/>
        <xdr:cNvSpPr>
          <a:spLocks/>
        </xdr:cNvSpPr>
      </xdr:nvSpPr>
      <xdr:spPr>
        <a:xfrm>
          <a:off x="2914650" y="5467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7" name="Line 68"/>
        <xdr:cNvSpPr>
          <a:spLocks/>
        </xdr:cNvSpPr>
      </xdr:nvSpPr>
      <xdr:spPr>
        <a:xfrm>
          <a:off x="1685925" y="58864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28575</xdr:rowOff>
    </xdr:from>
    <xdr:to>
      <xdr:col>7</xdr:col>
      <xdr:colOff>295275</xdr:colOff>
      <xdr:row>22</xdr:row>
      <xdr:rowOff>28575</xdr:rowOff>
    </xdr:to>
    <xdr:sp>
      <xdr:nvSpPr>
        <xdr:cNvPr id="18" name="Line 69"/>
        <xdr:cNvSpPr>
          <a:spLocks/>
        </xdr:cNvSpPr>
      </xdr:nvSpPr>
      <xdr:spPr>
        <a:xfrm>
          <a:off x="2619375" y="31527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27</xdr:row>
      <xdr:rowOff>28575</xdr:rowOff>
    </xdr:from>
    <xdr:to>
      <xdr:col>5</xdr:col>
      <xdr:colOff>333375</xdr:colOff>
      <xdr:row>30</xdr:row>
      <xdr:rowOff>28575</xdr:rowOff>
    </xdr:to>
    <xdr:sp>
      <xdr:nvSpPr>
        <xdr:cNvPr id="19" name="Line 70"/>
        <xdr:cNvSpPr>
          <a:spLocks/>
        </xdr:cNvSpPr>
      </xdr:nvSpPr>
      <xdr:spPr>
        <a:xfrm>
          <a:off x="2019300" y="43719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47625</xdr:rowOff>
    </xdr:from>
    <xdr:to>
      <xdr:col>9</xdr:col>
      <xdr:colOff>200025</xdr:colOff>
      <xdr:row>30</xdr:row>
      <xdr:rowOff>47625</xdr:rowOff>
    </xdr:to>
    <xdr:sp>
      <xdr:nvSpPr>
        <xdr:cNvPr id="20" name="Line 71"/>
        <xdr:cNvSpPr>
          <a:spLocks/>
        </xdr:cNvSpPr>
      </xdr:nvSpPr>
      <xdr:spPr>
        <a:xfrm>
          <a:off x="3400425" y="439102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31</xdr:row>
      <xdr:rowOff>0</xdr:rowOff>
    </xdr:to>
    <xdr:sp>
      <xdr:nvSpPr>
        <xdr:cNvPr id="21" name="Line 72"/>
        <xdr:cNvSpPr>
          <a:spLocks/>
        </xdr:cNvSpPr>
      </xdr:nvSpPr>
      <xdr:spPr>
        <a:xfrm flipV="1">
          <a:off x="3724275" y="1295400"/>
          <a:ext cx="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" name="Line 73"/>
        <xdr:cNvSpPr>
          <a:spLocks/>
        </xdr:cNvSpPr>
      </xdr:nvSpPr>
      <xdr:spPr>
        <a:xfrm>
          <a:off x="2914650" y="2362200"/>
          <a:ext cx="314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14</xdr:row>
      <xdr:rowOff>0</xdr:rowOff>
    </xdr:to>
    <xdr:sp>
      <xdr:nvSpPr>
        <xdr:cNvPr id="23" name="Line 74"/>
        <xdr:cNvSpPr>
          <a:spLocks/>
        </xdr:cNvSpPr>
      </xdr:nvSpPr>
      <xdr:spPr>
        <a:xfrm>
          <a:off x="4248150" y="1295400"/>
          <a:ext cx="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31</xdr:row>
      <xdr:rowOff>0</xdr:rowOff>
    </xdr:to>
    <xdr:sp>
      <xdr:nvSpPr>
        <xdr:cNvPr id="24" name="Line 75"/>
        <xdr:cNvSpPr>
          <a:spLocks/>
        </xdr:cNvSpPr>
      </xdr:nvSpPr>
      <xdr:spPr>
        <a:xfrm>
          <a:off x="4248150" y="2362200"/>
          <a:ext cx="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25" name="Line 76"/>
        <xdr:cNvSpPr>
          <a:spLocks/>
        </xdr:cNvSpPr>
      </xdr:nvSpPr>
      <xdr:spPr>
        <a:xfrm>
          <a:off x="4248150" y="49530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26" name="Line 77"/>
        <xdr:cNvSpPr>
          <a:spLocks/>
        </xdr:cNvSpPr>
      </xdr:nvSpPr>
      <xdr:spPr>
        <a:xfrm>
          <a:off x="4248150" y="23622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13</xdr:col>
      <xdr:colOff>0</xdr:colOff>
      <xdr:row>31</xdr:row>
      <xdr:rowOff>0</xdr:rowOff>
    </xdr:to>
    <xdr:sp>
      <xdr:nvSpPr>
        <xdr:cNvPr id="27" name="Line 78"/>
        <xdr:cNvSpPr>
          <a:spLocks/>
        </xdr:cNvSpPr>
      </xdr:nvSpPr>
      <xdr:spPr>
        <a:xfrm>
          <a:off x="4248150" y="2362200"/>
          <a:ext cx="64770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14</xdr:row>
      <xdr:rowOff>0</xdr:rowOff>
    </xdr:to>
    <xdr:sp>
      <xdr:nvSpPr>
        <xdr:cNvPr id="28" name="Line 79"/>
        <xdr:cNvSpPr>
          <a:spLocks/>
        </xdr:cNvSpPr>
      </xdr:nvSpPr>
      <xdr:spPr>
        <a:xfrm>
          <a:off x="4248150" y="1295400"/>
          <a:ext cx="32385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31</xdr:row>
      <xdr:rowOff>0</xdr:rowOff>
    </xdr:to>
    <xdr:sp>
      <xdr:nvSpPr>
        <xdr:cNvPr id="29" name="Line 80"/>
        <xdr:cNvSpPr>
          <a:spLocks/>
        </xdr:cNvSpPr>
      </xdr:nvSpPr>
      <xdr:spPr>
        <a:xfrm>
          <a:off x="4572000" y="2362200"/>
          <a:ext cx="64770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22</xdr:row>
      <xdr:rowOff>0</xdr:rowOff>
    </xdr:from>
    <xdr:to>
      <xdr:col>13</xdr:col>
      <xdr:colOff>38100</xdr:colOff>
      <xdr:row>22</xdr:row>
      <xdr:rowOff>0</xdr:rowOff>
    </xdr:to>
    <xdr:sp>
      <xdr:nvSpPr>
        <xdr:cNvPr id="30" name="Line 81"/>
        <xdr:cNvSpPr>
          <a:spLocks/>
        </xdr:cNvSpPr>
      </xdr:nvSpPr>
      <xdr:spPr>
        <a:xfrm>
          <a:off x="4400550" y="3581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0</xdr:rowOff>
    </xdr:from>
    <xdr:to>
      <xdr:col>12</xdr:col>
      <xdr:colOff>123825</xdr:colOff>
      <xdr:row>27</xdr:row>
      <xdr:rowOff>0</xdr:rowOff>
    </xdr:to>
    <xdr:sp>
      <xdr:nvSpPr>
        <xdr:cNvPr id="31" name="Line 82"/>
        <xdr:cNvSpPr>
          <a:spLocks/>
        </xdr:cNvSpPr>
      </xdr:nvSpPr>
      <xdr:spPr>
        <a:xfrm>
          <a:off x="4162425" y="4343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5410200" y="1295400"/>
          <a:ext cx="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31</xdr:row>
      <xdr:rowOff>0</xdr:rowOff>
    </xdr:to>
    <xdr:sp>
      <xdr:nvSpPr>
        <xdr:cNvPr id="33" name="Line 84"/>
        <xdr:cNvSpPr>
          <a:spLocks/>
        </xdr:cNvSpPr>
      </xdr:nvSpPr>
      <xdr:spPr>
        <a:xfrm>
          <a:off x="5410200" y="2362200"/>
          <a:ext cx="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34" name="Line 85"/>
        <xdr:cNvSpPr>
          <a:spLocks/>
        </xdr:cNvSpPr>
      </xdr:nvSpPr>
      <xdr:spPr>
        <a:xfrm>
          <a:off x="5410200" y="49530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5" name="Line 86"/>
        <xdr:cNvSpPr>
          <a:spLocks/>
        </xdr:cNvSpPr>
      </xdr:nvSpPr>
      <xdr:spPr>
        <a:xfrm>
          <a:off x="5410200" y="23622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19050</xdr:rowOff>
    </xdr:from>
    <xdr:to>
      <xdr:col>16</xdr:col>
      <xdr:colOff>304800</xdr:colOff>
      <xdr:row>31</xdr:row>
      <xdr:rowOff>0</xdr:rowOff>
    </xdr:to>
    <xdr:sp>
      <xdr:nvSpPr>
        <xdr:cNvPr id="36" name="Line 87"/>
        <xdr:cNvSpPr>
          <a:spLocks/>
        </xdr:cNvSpPr>
      </xdr:nvSpPr>
      <xdr:spPr>
        <a:xfrm>
          <a:off x="5410200" y="2381250"/>
          <a:ext cx="62865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14</xdr:row>
      <xdr:rowOff>0</xdr:rowOff>
    </xdr:to>
    <xdr:sp>
      <xdr:nvSpPr>
        <xdr:cNvPr id="37" name="Line 88"/>
        <xdr:cNvSpPr>
          <a:spLocks/>
        </xdr:cNvSpPr>
      </xdr:nvSpPr>
      <xdr:spPr>
        <a:xfrm>
          <a:off x="5410200" y="1295400"/>
          <a:ext cx="32385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18</xdr:col>
      <xdr:colOff>0</xdr:colOff>
      <xdr:row>31</xdr:row>
      <xdr:rowOff>0</xdr:rowOff>
    </xdr:to>
    <xdr:sp>
      <xdr:nvSpPr>
        <xdr:cNvPr id="38" name="Line 89"/>
        <xdr:cNvSpPr>
          <a:spLocks/>
        </xdr:cNvSpPr>
      </xdr:nvSpPr>
      <xdr:spPr>
        <a:xfrm>
          <a:off x="5734050" y="2362200"/>
          <a:ext cx="64770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22</xdr:row>
      <xdr:rowOff>0</xdr:rowOff>
    </xdr:from>
    <xdr:to>
      <xdr:col>17</xdr:col>
      <xdr:colOff>38100</xdr:colOff>
      <xdr:row>22</xdr:row>
      <xdr:rowOff>0</xdr:rowOff>
    </xdr:to>
    <xdr:sp>
      <xdr:nvSpPr>
        <xdr:cNvPr id="39" name="Line 90"/>
        <xdr:cNvSpPr>
          <a:spLocks/>
        </xdr:cNvSpPr>
      </xdr:nvSpPr>
      <xdr:spPr>
        <a:xfrm>
          <a:off x="5562600" y="3581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16</xdr:col>
      <xdr:colOff>123825</xdr:colOff>
      <xdr:row>27</xdr:row>
      <xdr:rowOff>0</xdr:rowOff>
    </xdr:to>
    <xdr:sp>
      <xdr:nvSpPr>
        <xdr:cNvPr id="40" name="Line 91"/>
        <xdr:cNvSpPr>
          <a:spLocks/>
        </xdr:cNvSpPr>
      </xdr:nvSpPr>
      <xdr:spPr>
        <a:xfrm>
          <a:off x="5410200" y="43434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41" name="Line 92"/>
        <xdr:cNvSpPr>
          <a:spLocks/>
        </xdr:cNvSpPr>
      </xdr:nvSpPr>
      <xdr:spPr>
        <a:xfrm>
          <a:off x="6381750" y="2362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42" name="Line 93"/>
        <xdr:cNvSpPr>
          <a:spLocks/>
        </xdr:cNvSpPr>
      </xdr:nvSpPr>
      <xdr:spPr>
        <a:xfrm>
          <a:off x="6496050" y="4953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14</xdr:row>
      <xdr:rowOff>0</xdr:rowOff>
    </xdr:to>
    <xdr:sp>
      <xdr:nvSpPr>
        <xdr:cNvPr id="43" name="Line 94"/>
        <xdr:cNvSpPr>
          <a:spLocks/>
        </xdr:cNvSpPr>
      </xdr:nvSpPr>
      <xdr:spPr>
        <a:xfrm>
          <a:off x="6953250" y="1295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31</xdr:row>
      <xdr:rowOff>0</xdr:rowOff>
    </xdr:to>
    <xdr:sp>
      <xdr:nvSpPr>
        <xdr:cNvPr id="44" name="Line 95"/>
        <xdr:cNvSpPr>
          <a:spLocks/>
        </xdr:cNvSpPr>
      </xdr:nvSpPr>
      <xdr:spPr>
        <a:xfrm>
          <a:off x="69532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22</xdr:row>
      <xdr:rowOff>19050</xdr:rowOff>
    </xdr:from>
    <xdr:to>
      <xdr:col>9</xdr:col>
      <xdr:colOff>381000</xdr:colOff>
      <xdr:row>25</xdr:row>
      <xdr:rowOff>19050</xdr:rowOff>
    </xdr:to>
    <xdr:sp>
      <xdr:nvSpPr>
        <xdr:cNvPr id="45" name="Line 96"/>
        <xdr:cNvSpPr>
          <a:spLocks/>
        </xdr:cNvSpPr>
      </xdr:nvSpPr>
      <xdr:spPr>
        <a:xfrm>
          <a:off x="3581400" y="3600450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17</xdr:row>
      <xdr:rowOff>47625</xdr:rowOff>
    </xdr:from>
    <xdr:to>
      <xdr:col>9</xdr:col>
      <xdr:colOff>276225</xdr:colOff>
      <xdr:row>20</xdr:row>
      <xdr:rowOff>47625</xdr:rowOff>
    </xdr:to>
    <xdr:sp>
      <xdr:nvSpPr>
        <xdr:cNvPr id="46" name="Line 97"/>
        <xdr:cNvSpPr>
          <a:spLocks/>
        </xdr:cNvSpPr>
      </xdr:nvSpPr>
      <xdr:spPr>
        <a:xfrm>
          <a:off x="3476625" y="286702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9</xdr:row>
      <xdr:rowOff>38100</xdr:rowOff>
    </xdr:from>
    <xdr:to>
      <xdr:col>9</xdr:col>
      <xdr:colOff>152400</xdr:colOff>
      <xdr:row>12</xdr:row>
      <xdr:rowOff>38100</xdr:rowOff>
    </xdr:to>
    <xdr:sp>
      <xdr:nvSpPr>
        <xdr:cNvPr id="47" name="Line 98"/>
        <xdr:cNvSpPr>
          <a:spLocks/>
        </xdr:cNvSpPr>
      </xdr:nvSpPr>
      <xdr:spPr>
        <a:xfrm>
          <a:off x="3352800" y="1638300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99"/>
        <xdr:cNvSpPr>
          <a:spLocks/>
        </xdr:cNvSpPr>
      </xdr:nvSpPr>
      <xdr:spPr>
        <a:xfrm>
          <a:off x="2324100" y="8382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14</xdr:row>
      <xdr:rowOff>0</xdr:rowOff>
    </xdr:to>
    <xdr:sp>
      <xdr:nvSpPr>
        <xdr:cNvPr id="49" name="Line 100"/>
        <xdr:cNvSpPr>
          <a:spLocks/>
        </xdr:cNvSpPr>
      </xdr:nvSpPr>
      <xdr:spPr>
        <a:xfrm>
          <a:off x="2324100" y="838200"/>
          <a:ext cx="0" cy="1524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14</xdr:row>
      <xdr:rowOff>0</xdr:rowOff>
    </xdr:to>
    <xdr:sp>
      <xdr:nvSpPr>
        <xdr:cNvPr id="50" name="Line 101"/>
        <xdr:cNvSpPr>
          <a:spLocks/>
        </xdr:cNvSpPr>
      </xdr:nvSpPr>
      <xdr:spPr>
        <a:xfrm>
          <a:off x="2914650" y="838200"/>
          <a:ext cx="0" cy="1524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" name="Line 102"/>
        <xdr:cNvSpPr>
          <a:spLocks/>
        </xdr:cNvSpPr>
      </xdr:nvSpPr>
      <xdr:spPr>
        <a:xfrm flipH="1">
          <a:off x="781050" y="2362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14</xdr:row>
      <xdr:rowOff>0</xdr:rowOff>
    </xdr:to>
    <xdr:sp>
      <xdr:nvSpPr>
        <xdr:cNvPr id="52" name="Line 103"/>
        <xdr:cNvSpPr>
          <a:spLocks/>
        </xdr:cNvSpPr>
      </xdr:nvSpPr>
      <xdr:spPr>
        <a:xfrm flipV="1">
          <a:off x="895350" y="8382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3" name="Line 104"/>
        <xdr:cNvSpPr>
          <a:spLocks/>
        </xdr:cNvSpPr>
      </xdr:nvSpPr>
      <xdr:spPr>
        <a:xfrm flipH="1">
          <a:off x="2914650" y="1295400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8</xdr:row>
      <xdr:rowOff>28575</xdr:rowOff>
    </xdr:from>
    <xdr:to>
      <xdr:col>7</xdr:col>
      <xdr:colOff>295275</xdr:colOff>
      <xdr:row>11</xdr:row>
      <xdr:rowOff>28575</xdr:rowOff>
    </xdr:to>
    <xdr:sp>
      <xdr:nvSpPr>
        <xdr:cNvPr id="54" name="Line 105"/>
        <xdr:cNvSpPr>
          <a:spLocks/>
        </xdr:cNvSpPr>
      </xdr:nvSpPr>
      <xdr:spPr>
        <a:xfrm>
          <a:off x="2619375" y="14763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0</xdr:rowOff>
    </xdr:from>
    <xdr:to>
      <xdr:col>7</xdr:col>
      <xdr:colOff>0</xdr:colOff>
      <xdr:row>31</xdr:row>
      <xdr:rowOff>0</xdr:rowOff>
    </xdr:to>
    <xdr:sp>
      <xdr:nvSpPr>
        <xdr:cNvPr id="1" name="Line 52"/>
        <xdr:cNvSpPr>
          <a:spLocks/>
        </xdr:cNvSpPr>
      </xdr:nvSpPr>
      <xdr:spPr>
        <a:xfrm flipH="1">
          <a:off x="1685925" y="2362200"/>
          <a:ext cx="638175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" name="Line 53"/>
        <xdr:cNvSpPr>
          <a:spLocks/>
        </xdr:cNvSpPr>
      </xdr:nvSpPr>
      <xdr:spPr>
        <a:xfrm>
          <a:off x="1685925" y="4953000"/>
          <a:ext cx="20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31</xdr:row>
      <xdr:rowOff>0</xdr:rowOff>
    </xdr:to>
    <xdr:sp>
      <xdr:nvSpPr>
        <xdr:cNvPr id="3" name="Line 54"/>
        <xdr:cNvSpPr>
          <a:spLocks/>
        </xdr:cNvSpPr>
      </xdr:nvSpPr>
      <xdr:spPr>
        <a:xfrm flipH="1" flipV="1">
          <a:off x="2914650" y="2362200"/>
          <a:ext cx="809625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" name="Line 55"/>
        <xdr:cNvSpPr>
          <a:spLocks/>
        </xdr:cNvSpPr>
      </xdr:nvSpPr>
      <xdr:spPr>
        <a:xfrm>
          <a:off x="2324100" y="23622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31</xdr:row>
      <xdr:rowOff>0</xdr:rowOff>
    </xdr:to>
    <xdr:sp>
      <xdr:nvSpPr>
        <xdr:cNvPr id="5" name="Line 56"/>
        <xdr:cNvSpPr>
          <a:spLocks/>
        </xdr:cNvSpPr>
      </xdr:nvSpPr>
      <xdr:spPr>
        <a:xfrm>
          <a:off x="232410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31</xdr:row>
      <xdr:rowOff>0</xdr:rowOff>
    </xdr:to>
    <xdr:sp>
      <xdr:nvSpPr>
        <xdr:cNvPr id="6" name="Line 57"/>
        <xdr:cNvSpPr>
          <a:spLocks/>
        </xdr:cNvSpPr>
      </xdr:nvSpPr>
      <xdr:spPr>
        <a:xfrm>
          <a:off x="29146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Line 58"/>
        <xdr:cNvSpPr>
          <a:spLocks/>
        </xdr:cNvSpPr>
      </xdr:nvSpPr>
      <xdr:spPr>
        <a:xfrm flipH="1">
          <a:off x="781050" y="83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" name="Line 59"/>
        <xdr:cNvSpPr>
          <a:spLocks/>
        </xdr:cNvSpPr>
      </xdr:nvSpPr>
      <xdr:spPr>
        <a:xfrm flipH="1">
          <a:off x="781050" y="4953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31</xdr:row>
      <xdr:rowOff>0</xdr:rowOff>
    </xdr:to>
    <xdr:sp>
      <xdr:nvSpPr>
        <xdr:cNvPr id="9" name="Line 60"/>
        <xdr:cNvSpPr>
          <a:spLocks/>
        </xdr:cNvSpPr>
      </xdr:nvSpPr>
      <xdr:spPr>
        <a:xfrm flipV="1">
          <a:off x="8953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40</xdr:row>
      <xdr:rowOff>0</xdr:rowOff>
    </xdr:to>
    <xdr:sp>
      <xdr:nvSpPr>
        <xdr:cNvPr id="10" name="Line 61"/>
        <xdr:cNvSpPr>
          <a:spLocks/>
        </xdr:cNvSpPr>
      </xdr:nvSpPr>
      <xdr:spPr>
        <a:xfrm>
          <a:off x="1685925" y="50101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36</xdr:row>
      <xdr:rowOff>0</xdr:rowOff>
    </xdr:to>
    <xdr:sp>
      <xdr:nvSpPr>
        <xdr:cNvPr id="11" name="Line 62"/>
        <xdr:cNvSpPr>
          <a:spLocks/>
        </xdr:cNvSpPr>
      </xdr:nvSpPr>
      <xdr:spPr>
        <a:xfrm>
          <a:off x="23241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36</xdr:row>
      <xdr:rowOff>0</xdr:rowOff>
    </xdr:to>
    <xdr:sp>
      <xdr:nvSpPr>
        <xdr:cNvPr id="12" name="Line 63"/>
        <xdr:cNvSpPr>
          <a:spLocks/>
        </xdr:cNvSpPr>
      </xdr:nvSpPr>
      <xdr:spPr>
        <a:xfrm>
          <a:off x="29146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38100</xdr:rowOff>
    </xdr:from>
    <xdr:to>
      <xdr:col>10</xdr:col>
      <xdr:colOff>0</xdr:colOff>
      <xdr:row>40</xdr:row>
      <xdr:rowOff>0</xdr:rowOff>
    </xdr:to>
    <xdr:sp>
      <xdr:nvSpPr>
        <xdr:cNvPr id="13" name="Line 64"/>
        <xdr:cNvSpPr>
          <a:spLocks/>
        </xdr:cNvSpPr>
      </xdr:nvSpPr>
      <xdr:spPr>
        <a:xfrm>
          <a:off x="3724275" y="49911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" name="Line 65"/>
        <xdr:cNvSpPr>
          <a:spLocks/>
        </xdr:cNvSpPr>
      </xdr:nvSpPr>
      <xdr:spPr>
        <a:xfrm>
          <a:off x="1685925" y="54673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Line 66"/>
        <xdr:cNvSpPr>
          <a:spLocks/>
        </xdr:cNvSpPr>
      </xdr:nvSpPr>
      <xdr:spPr>
        <a:xfrm>
          <a:off x="2324100" y="5467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476250</xdr:colOff>
      <xdr:row>35</xdr:row>
      <xdr:rowOff>0</xdr:rowOff>
    </xdr:to>
    <xdr:sp>
      <xdr:nvSpPr>
        <xdr:cNvPr id="16" name="Line 67"/>
        <xdr:cNvSpPr>
          <a:spLocks/>
        </xdr:cNvSpPr>
      </xdr:nvSpPr>
      <xdr:spPr>
        <a:xfrm>
          <a:off x="2914650" y="5467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7" name="Line 68"/>
        <xdr:cNvSpPr>
          <a:spLocks/>
        </xdr:cNvSpPr>
      </xdr:nvSpPr>
      <xdr:spPr>
        <a:xfrm>
          <a:off x="1685925" y="58864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28575</xdr:rowOff>
    </xdr:from>
    <xdr:to>
      <xdr:col>7</xdr:col>
      <xdr:colOff>295275</xdr:colOff>
      <xdr:row>22</xdr:row>
      <xdr:rowOff>28575</xdr:rowOff>
    </xdr:to>
    <xdr:sp>
      <xdr:nvSpPr>
        <xdr:cNvPr id="18" name="Line 69"/>
        <xdr:cNvSpPr>
          <a:spLocks/>
        </xdr:cNvSpPr>
      </xdr:nvSpPr>
      <xdr:spPr>
        <a:xfrm>
          <a:off x="2619375" y="31527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27</xdr:row>
      <xdr:rowOff>28575</xdr:rowOff>
    </xdr:from>
    <xdr:to>
      <xdr:col>5</xdr:col>
      <xdr:colOff>333375</xdr:colOff>
      <xdr:row>30</xdr:row>
      <xdr:rowOff>28575</xdr:rowOff>
    </xdr:to>
    <xdr:sp>
      <xdr:nvSpPr>
        <xdr:cNvPr id="19" name="Line 70"/>
        <xdr:cNvSpPr>
          <a:spLocks/>
        </xdr:cNvSpPr>
      </xdr:nvSpPr>
      <xdr:spPr>
        <a:xfrm>
          <a:off x="2019300" y="43719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47625</xdr:rowOff>
    </xdr:from>
    <xdr:to>
      <xdr:col>9</xdr:col>
      <xdr:colOff>200025</xdr:colOff>
      <xdr:row>30</xdr:row>
      <xdr:rowOff>47625</xdr:rowOff>
    </xdr:to>
    <xdr:sp>
      <xdr:nvSpPr>
        <xdr:cNvPr id="20" name="Line 71"/>
        <xdr:cNvSpPr>
          <a:spLocks/>
        </xdr:cNvSpPr>
      </xdr:nvSpPr>
      <xdr:spPr>
        <a:xfrm>
          <a:off x="3400425" y="439102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31</xdr:row>
      <xdr:rowOff>0</xdr:rowOff>
    </xdr:to>
    <xdr:sp>
      <xdr:nvSpPr>
        <xdr:cNvPr id="21" name="Line 72"/>
        <xdr:cNvSpPr>
          <a:spLocks/>
        </xdr:cNvSpPr>
      </xdr:nvSpPr>
      <xdr:spPr>
        <a:xfrm flipV="1">
          <a:off x="3724275" y="1295400"/>
          <a:ext cx="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" name="Line 73"/>
        <xdr:cNvSpPr>
          <a:spLocks/>
        </xdr:cNvSpPr>
      </xdr:nvSpPr>
      <xdr:spPr>
        <a:xfrm>
          <a:off x="2914650" y="2362200"/>
          <a:ext cx="314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14</xdr:row>
      <xdr:rowOff>0</xdr:rowOff>
    </xdr:to>
    <xdr:sp>
      <xdr:nvSpPr>
        <xdr:cNvPr id="23" name="Line 74"/>
        <xdr:cNvSpPr>
          <a:spLocks/>
        </xdr:cNvSpPr>
      </xdr:nvSpPr>
      <xdr:spPr>
        <a:xfrm>
          <a:off x="4248150" y="1295400"/>
          <a:ext cx="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31</xdr:row>
      <xdr:rowOff>0</xdr:rowOff>
    </xdr:to>
    <xdr:sp>
      <xdr:nvSpPr>
        <xdr:cNvPr id="24" name="Line 75"/>
        <xdr:cNvSpPr>
          <a:spLocks/>
        </xdr:cNvSpPr>
      </xdr:nvSpPr>
      <xdr:spPr>
        <a:xfrm>
          <a:off x="4248150" y="2362200"/>
          <a:ext cx="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25" name="Line 76"/>
        <xdr:cNvSpPr>
          <a:spLocks/>
        </xdr:cNvSpPr>
      </xdr:nvSpPr>
      <xdr:spPr>
        <a:xfrm>
          <a:off x="4248150" y="49530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26" name="Line 77"/>
        <xdr:cNvSpPr>
          <a:spLocks/>
        </xdr:cNvSpPr>
      </xdr:nvSpPr>
      <xdr:spPr>
        <a:xfrm>
          <a:off x="4248150" y="23622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13</xdr:col>
      <xdr:colOff>0</xdr:colOff>
      <xdr:row>31</xdr:row>
      <xdr:rowOff>0</xdr:rowOff>
    </xdr:to>
    <xdr:sp>
      <xdr:nvSpPr>
        <xdr:cNvPr id="27" name="Line 78"/>
        <xdr:cNvSpPr>
          <a:spLocks/>
        </xdr:cNvSpPr>
      </xdr:nvSpPr>
      <xdr:spPr>
        <a:xfrm>
          <a:off x="4248150" y="2362200"/>
          <a:ext cx="64770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14</xdr:row>
      <xdr:rowOff>0</xdr:rowOff>
    </xdr:to>
    <xdr:sp>
      <xdr:nvSpPr>
        <xdr:cNvPr id="28" name="Line 79"/>
        <xdr:cNvSpPr>
          <a:spLocks/>
        </xdr:cNvSpPr>
      </xdr:nvSpPr>
      <xdr:spPr>
        <a:xfrm>
          <a:off x="4248150" y="1295400"/>
          <a:ext cx="32385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31</xdr:row>
      <xdr:rowOff>0</xdr:rowOff>
    </xdr:to>
    <xdr:sp>
      <xdr:nvSpPr>
        <xdr:cNvPr id="29" name="Line 80"/>
        <xdr:cNvSpPr>
          <a:spLocks/>
        </xdr:cNvSpPr>
      </xdr:nvSpPr>
      <xdr:spPr>
        <a:xfrm>
          <a:off x="4572000" y="2362200"/>
          <a:ext cx="64770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22</xdr:row>
      <xdr:rowOff>0</xdr:rowOff>
    </xdr:from>
    <xdr:to>
      <xdr:col>13</xdr:col>
      <xdr:colOff>38100</xdr:colOff>
      <xdr:row>22</xdr:row>
      <xdr:rowOff>0</xdr:rowOff>
    </xdr:to>
    <xdr:sp>
      <xdr:nvSpPr>
        <xdr:cNvPr id="30" name="Line 81"/>
        <xdr:cNvSpPr>
          <a:spLocks/>
        </xdr:cNvSpPr>
      </xdr:nvSpPr>
      <xdr:spPr>
        <a:xfrm>
          <a:off x="4400550" y="3581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0</xdr:rowOff>
    </xdr:from>
    <xdr:to>
      <xdr:col>12</xdr:col>
      <xdr:colOff>123825</xdr:colOff>
      <xdr:row>27</xdr:row>
      <xdr:rowOff>0</xdr:rowOff>
    </xdr:to>
    <xdr:sp>
      <xdr:nvSpPr>
        <xdr:cNvPr id="31" name="Line 82"/>
        <xdr:cNvSpPr>
          <a:spLocks/>
        </xdr:cNvSpPr>
      </xdr:nvSpPr>
      <xdr:spPr>
        <a:xfrm>
          <a:off x="4162425" y="4343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5410200" y="1295400"/>
          <a:ext cx="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31</xdr:row>
      <xdr:rowOff>0</xdr:rowOff>
    </xdr:to>
    <xdr:sp>
      <xdr:nvSpPr>
        <xdr:cNvPr id="33" name="Line 84"/>
        <xdr:cNvSpPr>
          <a:spLocks/>
        </xdr:cNvSpPr>
      </xdr:nvSpPr>
      <xdr:spPr>
        <a:xfrm>
          <a:off x="5410200" y="2362200"/>
          <a:ext cx="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34" name="Line 85"/>
        <xdr:cNvSpPr>
          <a:spLocks/>
        </xdr:cNvSpPr>
      </xdr:nvSpPr>
      <xdr:spPr>
        <a:xfrm>
          <a:off x="5410200" y="49530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5" name="Line 86"/>
        <xdr:cNvSpPr>
          <a:spLocks/>
        </xdr:cNvSpPr>
      </xdr:nvSpPr>
      <xdr:spPr>
        <a:xfrm>
          <a:off x="5410200" y="23622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19050</xdr:rowOff>
    </xdr:from>
    <xdr:to>
      <xdr:col>16</xdr:col>
      <xdr:colOff>304800</xdr:colOff>
      <xdr:row>31</xdr:row>
      <xdr:rowOff>0</xdr:rowOff>
    </xdr:to>
    <xdr:sp>
      <xdr:nvSpPr>
        <xdr:cNvPr id="36" name="Line 87"/>
        <xdr:cNvSpPr>
          <a:spLocks/>
        </xdr:cNvSpPr>
      </xdr:nvSpPr>
      <xdr:spPr>
        <a:xfrm>
          <a:off x="5410200" y="2381250"/>
          <a:ext cx="62865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14</xdr:row>
      <xdr:rowOff>0</xdr:rowOff>
    </xdr:to>
    <xdr:sp>
      <xdr:nvSpPr>
        <xdr:cNvPr id="37" name="Line 88"/>
        <xdr:cNvSpPr>
          <a:spLocks/>
        </xdr:cNvSpPr>
      </xdr:nvSpPr>
      <xdr:spPr>
        <a:xfrm>
          <a:off x="5410200" y="1295400"/>
          <a:ext cx="32385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18</xdr:col>
      <xdr:colOff>0</xdr:colOff>
      <xdr:row>31</xdr:row>
      <xdr:rowOff>0</xdr:rowOff>
    </xdr:to>
    <xdr:sp>
      <xdr:nvSpPr>
        <xdr:cNvPr id="38" name="Line 89"/>
        <xdr:cNvSpPr>
          <a:spLocks/>
        </xdr:cNvSpPr>
      </xdr:nvSpPr>
      <xdr:spPr>
        <a:xfrm>
          <a:off x="5734050" y="2362200"/>
          <a:ext cx="64770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22</xdr:row>
      <xdr:rowOff>0</xdr:rowOff>
    </xdr:from>
    <xdr:to>
      <xdr:col>17</xdr:col>
      <xdr:colOff>38100</xdr:colOff>
      <xdr:row>22</xdr:row>
      <xdr:rowOff>0</xdr:rowOff>
    </xdr:to>
    <xdr:sp>
      <xdr:nvSpPr>
        <xdr:cNvPr id="39" name="Line 90"/>
        <xdr:cNvSpPr>
          <a:spLocks/>
        </xdr:cNvSpPr>
      </xdr:nvSpPr>
      <xdr:spPr>
        <a:xfrm>
          <a:off x="5562600" y="3581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16</xdr:col>
      <xdr:colOff>123825</xdr:colOff>
      <xdr:row>27</xdr:row>
      <xdr:rowOff>0</xdr:rowOff>
    </xdr:to>
    <xdr:sp>
      <xdr:nvSpPr>
        <xdr:cNvPr id="40" name="Line 91"/>
        <xdr:cNvSpPr>
          <a:spLocks/>
        </xdr:cNvSpPr>
      </xdr:nvSpPr>
      <xdr:spPr>
        <a:xfrm>
          <a:off x="5410200" y="43434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41" name="Line 92"/>
        <xdr:cNvSpPr>
          <a:spLocks/>
        </xdr:cNvSpPr>
      </xdr:nvSpPr>
      <xdr:spPr>
        <a:xfrm>
          <a:off x="6381750" y="2362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42" name="Line 93"/>
        <xdr:cNvSpPr>
          <a:spLocks/>
        </xdr:cNvSpPr>
      </xdr:nvSpPr>
      <xdr:spPr>
        <a:xfrm>
          <a:off x="6496050" y="4953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14</xdr:row>
      <xdr:rowOff>0</xdr:rowOff>
    </xdr:to>
    <xdr:sp>
      <xdr:nvSpPr>
        <xdr:cNvPr id="43" name="Line 94"/>
        <xdr:cNvSpPr>
          <a:spLocks/>
        </xdr:cNvSpPr>
      </xdr:nvSpPr>
      <xdr:spPr>
        <a:xfrm>
          <a:off x="6953250" y="1295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31</xdr:row>
      <xdr:rowOff>0</xdr:rowOff>
    </xdr:to>
    <xdr:sp>
      <xdr:nvSpPr>
        <xdr:cNvPr id="44" name="Line 95"/>
        <xdr:cNvSpPr>
          <a:spLocks/>
        </xdr:cNvSpPr>
      </xdr:nvSpPr>
      <xdr:spPr>
        <a:xfrm>
          <a:off x="69532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22</xdr:row>
      <xdr:rowOff>19050</xdr:rowOff>
    </xdr:from>
    <xdr:to>
      <xdr:col>9</xdr:col>
      <xdr:colOff>381000</xdr:colOff>
      <xdr:row>25</xdr:row>
      <xdr:rowOff>19050</xdr:rowOff>
    </xdr:to>
    <xdr:sp>
      <xdr:nvSpPr>
        <xdr:cNvPr id="45" name="Line 96"/>
        <xdr:cNvSpPr>
          <a:spLocks/>
        </xdr:cNvSpPr>
      </xdr:nvSpPr>
      <xdr:spPr>
        <a:xfrm>
          <a:off x="3581400" y="3600450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17</xdr:row>
      <xdr:rowOff>47625</xdr:rowOff>
    </xdr:from>
    <xdr:to>
      <xdr:col>9</xdr:col>
      <xdr:colOff>276225</xdr:colOff>
      <xdr:row>20</xdr:row>
      <xdr:rowOff>47625</xdr:rowOff>
    </xdr:to>
    <xdr:sp>
      <xdr:nvSpPr>
        <xdr:cNvPr id="46" name="Line 97"/>
        <xdr:cNvSpPr>
          <a:spLocks/>
        </xdr:cNvSpPr>
      </xdr:nvSpPr>
      <xdr:spPr>
        <a:xfrm>
          <a:off x="3476625" y="286702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9</xdr:row>
      <xdr:rowOff>38100</xdr:rowOff>
    </xdr:from>
    <xdr:to>
      <xdr:col>9</xdr:col>
      <xdr:colOff>152400</xdr:colOff>
      <xdr:row>12</xdr:row>
      <xdr:rowOff>38100</xdr:rowOff>
    </xdr:to>
    <xdr:sp>
      <xdr:nvSpPr>
        <xdr:cNvPr id="47" name="Line 98"/>
        <xdr:cNvSpPr>
          <a:spLocks/>
        </xdr:cNvSpPr>
      </xdr:nvSpPr>
      <xdr:spPr>
        <a:xfrm>
          <a:off x="3352800" y="1638300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99"/>
        <xdr:cNvSpPr>
          <a:spLocks/>
        </xdr:cNvSpPr>
      </xdr:nvSpPr>
      <xdr:spPr>
        <a:xfrm>
          <a:off x="2324100" y="8382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14</xdr:row>
      <xdr:rowOff>0</xdr:rowOff>
    </xdr:to>
    <xdr:sp>
      <xdr:nvSpPr>
        <xdr:cNvPr id="49" name="Line 100"/>
        <xdr:cNvSpPr>
          <a:spLocks/>
        </xdr:cNvSpPr>
      </xdr:nvSpPr>
      <xdr:spPr>
        <a:xfrm>
          <a:off x="2324100" y="838200"/>
          <a:ext cx="0" cy="1524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14</xdr:row>
      <xdr:rowOff>0</xdr:rowOff>
    </xdr:to>
    <xdr:sp>
      <xdr:nvSpPr>
        <xdr:cNvPr id="50" name="Line 101"/>
        <xdr:cNvSpPr>
          <a:spLocks/>
        </xdr:cNvSpPr>
      </xdr:nvSpPr>
      <xdr:spPr>
        <a:xfrm>
          <a:off x="2914650" y="838200"/>
          <a:ext cx="0" cy="1524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" name="Line 102"/>
        <xdr:cNvSpPr>
          <a:spLocks/>
        </xdr:cNvSpPr>
      </xdr:nvSpPr>
      <xdr:spPr>
        <a:xfrm flipH="1">
          <a:off x="781050" y="2362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14</xdr:row>
      <xdr:rowOff>0</xdr:rowOff>
    </xdr:to>
    <xdr:sp>
      <xdr:nvSpPr>
        <xdr:cNvPr id="52" name="Line 103"/>
        <xdr:cNvSpPr>
          <a:spLocks/>
        </xdr:cNvSpPr>
      </xdr:nvSpPr>
      <xdr:spPr>
        <a:xfrm flipV="1">
          <a:off x="895350" y="8382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3" name="Line 104"/>
        <xdr:cNvSpPr>
          <a:spLocks/>
        </xdr:cNvSpPr>
      </xdr:nvSpPr>
      <xdr:spPr>
        <a:xfrm flipH="1">
          <a:off x="2914650" y="1295400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8</xdr:row>
      <xdr:rowOff>28575</xdr:rowOff>
    </xdr:from>
    <xdr:to>
      <xdr:col>7</xdr:col>
      <xdr:colOff>295275</xdr:colOff>
      <xdr:row>11</xdr:row>
      <xdr:rowOff>28575</xdr:rowOff>
    </xdr:to>
    <xdr:sp>
      <xdr:nvSpPr>
        <xdr:cNvPr id="54" name="Line 105"/>
        <xdr:cNvSpPr>
          <a:spLocks/>
        </xdr:cNvSpPr>
      </xdr:nvSpPr>
      <xdr:spPr>
        <a:xfrm>
          <a:off x="2619375" y="14763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0</xdr:rowOff>
    </xdr:from>
    <xdr:to>
      <xdr:col>7</xdr:col>
      <xdr:colOff>0</xdr:colOff>
      <xdr:row>31</xdr:row>
      <xdr:rowOff>0</xdr:rowOff>
    </xdr:to>
    <xdr:sp>
      <xdr:nvSpPr>
        <xdr:cNvPr id="1" name="Line 52"/>
        <xdr:cNvSpPr>
          <a:spLocks/>
        </xdr:cNvSpPr>
      </xdr:nvSpPr>
      <xdr:spPr>
        <a:xfrm flipH="1">
          <a:off x="1685925" y="2362200"/>
          <a:ext cx="638175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" name="Line 53"/>
        <xdr:cNvSpPr>
          <a:spLocks/>
        </xdr:cNvSpPr>
      </xdr:nvSpPr>
      <xdr:spPr>
        <a:xfrm>
          <a:off x="1685925" y="4953000"/>
          <a:ext cx="20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31</xdr:row>
      <xdr:rowOff>0</xdr:rowOff>
    </xdr:to>
    <xdr:sp>
      <xdr:nvSpPr>
        <xdr:cNvPr id="3" name="Line 54"/>
        <xdr:cNvSpPr>
          <a:spLocks/>
        </xdr:cNvSpPr>
      </xdr:nvSpPr>
      <xdr:spPr>
        <a:xfrm flipH="1" flipV="1">
          <a:off x="2914650" y="2362200"/>
          <a:ext cx="809625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" name="Line 55"/>
        <xdr:cNvSpPr>
          <a:spLocks/>
        </xdr:cNvSpPr>
      </xdr:nvSpPr>
      <xdr:spPr>
        <a:xfrm>
          <a:off x="2324100" y="23622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31</xdr:row>
      <xdr:rowOff>0</xdr:rowOff>
    </xdr:to>
    <xdr:sp>
      <xdr:nvSpPr>
        <xdr:cNvPr id="5" name="Line 56"/>
        <xdr:cNvSpPr>
          <a:spLocks/>
        </xdr:cNvSpPr>
      </xdr:nvSpPr>
      <xdr:spPr>
        <a:xfrm>
          <a:off x="232410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31</xdr:row>
      <xdr:rowOff>0</xdr:rowOff>
    </xdr:to>
    <xdr:sp>
      <xdr:nvSpPr>
        <xdr:cNvPr id="6" name="Line 57"/>
        <xdr:cNvSpPr>
          <a:spLocks/>
        </xdr:cNvSpPr>
      </xdr:nvSpPr>
      <xdr:spPr>
        <a:xfrm>
          <a:off x="29146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Line 58"/>
        <xdr:cNvSpPr>
          <a:spLocks/>
        </xdr:cNvSpPr>
      </xdr:nvSpPr>
      <xdr:spPr>
        <a:xfrm flipH="1">
          <a:off x="781050" y="83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" name="Line 59"/>
        <xdr:cNvSpPr>
          <a:spLocks/>
        </xdr:cNvSpPr>
      </xdr:nvSpPr>
      <xdr:spPr>
        <a:xfrm flipH="1">
          <a:off x="781050" y="4953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31</xdr:row>
      <xdr:rowOff>0</xdr:rowOff>
    </xdr:to>
    <xdr:sp>
      <xdr:nvSpPr>
        <xdr:cNvPr id="9" name="Line 60"/>
        <xdr:cNvSpPr>
          <a:spLocks/>
        </xdr:cNvSpPr>
      </xdr:nvSpPr>
      <xdr:spPr>
        <a:xfrm flipV="1">
          <a:off x="8953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40</xdr:row>
      <xdr:rowOff>0</xdr:rowOff>
    </xdr:to>
    <xdr:sp>
      <xdr:nvSpPr>
        <xdr:cNvPr id="10" name="Line 61"/>
        <xdr:cNvSpPr>
          <a:spLocks/>
        </xdr:cNvSpPr>
      </xdr:nvSpPr>
      <xdr:spPr>
        <a:xfrm>
          <a:off x="1685925" y="50101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36</xdr:row>
      <xdr:rowOff>0</xdr:rowOff>
    </xdr:to>
    <xdr:sp>
      <xdr:nvSpPr>
        <xdr:cNvPr id="11" name="Line 62"/>
        <xdr:cNvSpPr>
          <a:spLocks/>
        </xdr:cNvSpPr>
      </xdr:nvSpPr>
      <xdr:spPr>
        <a:xfrm>
          <a:off x="23241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36</xdr:row>
      <xdr:rowOff>0</xdr:rowOff>
    </xdr:to>
    <xdr:sp>
      <xdr:nvSpPr>
        <xdr:cNvPr id="12" name="Line 63"/>
        <xdr:cNvSpPr>
          <a:spLocks/>
        </xdr:cNvSpPr>
      </xdr:nvSpPr>
      <xdr:spPr>
        <a:xfrm>
          <a:off x="29146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38100</xdr:rowOff>
    </xdr:from>
    <xdr:to>
      <xdr:col>10</xdr:col>
      <xdr:colOff>0</xdr:colOff>
      <xdr:row>40</xdr:row>
      <xdr:rowOff>0</xdr:rowOff>
    </xdr:to>
    <xdr:sp>
      <xdr:nvSpPr>
        <xdr:cNvPr id="13" name="Line 64"/>
        <xdr:cNvSpPr>
          <a:spLocks/>
        </xdr:cNvSpPr>
      </xdr:nvSpPr>
      <xdr:spPr>
        <a:xfrm>
          <a:off x="3724275" y="49911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" name="Line 65"/>
        <xdr:cNvSpPr>
          <a:spLocks/>
        </xdr:cNvSpPr>
      </xdr:nvSpPr>
      <xdr:spPr>
        <a:xfrm>
          <a:off x="1685925" y="54673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Line 66"/>
        <xdr:cNvSpPr>
          <a:spLocks/>
        </xdr:cNvSpPr>
      </xdr:nvSpPr>
      <xdr:spPr>
        <a:xfrm>
          <a:off x="2324100" y="5467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476250</xdr:colOff>
      <xdr:row>35</xdr:row>
      <xdr:rowOff>0</xdr:rowOff>
    </xdr:to>
    <xdr:sp>
      <xdr:nvSpPr>
        <xdr:cNvPr id="16" name="Line 67"/>
        <xdr:cNvSpPr>
          <a:spLocks/>
        </xdr:cNvSpPr>
      </xdr:nvSpPr>
      <xdr:spPr>
        <a:xfrm>
          <a:off x="2914650" y="5467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7" name="Line 68"/>
        <xdr:cNvSpPr>
          <a:spLocks/>
        </xdr:cNvSpPr>
      </xdr:nvSpPr>
      <xdr:spPr>
        <a:xfrm>
          <a:off x="1685925" y="58864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28575</xdr:rowOff>
    </xdr:from>
    <xdr:to>
      <xdr:col>7</xdr:col>
      <xdr:colOff>295275</xdr:colOff>
      <xdr:row>22</xdr:row>
      <xdr:rowOff>28575</xdr:rowOff>
    </xdr:to>
    <xdr:sp>
      <xdr:nvSpPr>
        <xdr:cNvPr id="18" name="Line 69"/>
        <xdr:cNvSpPr>
          <a:spLocks/>
        </xdr:cNvSpPr>
      </xdr:nvSpPr>
      <xdr:spPr>
        <a:xfrm>
          <a:off x="2619375" y="31527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27</xdr:row>
      <xdr:rowOff>28575</xdr:rowOff>
    </xdr:from>
    <xdr:to>
      <xdr:col>5</xdr:col>
      <xdr:colOff>333375</xdr:colOff>
      <xdr:row>30</xdr:row>
      <xdr:rowOff>28575</xdr:rowOff>
    </xdr:to>
    <xdr:sp>
      <xdr:nvSpPr>
        <xdr:cNvPr id="19" name="Line 70"/>
        <xdr:cNvSpPr>
          <a:spLocks/>
        </xdr:cNvSpPr>
      </xdr:nvSpPr>
      <xdr:spPr>
        <a:xfrm>
          <a:off x="2019300" y="43719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47625</xdr:rowOff>
    </xdr:from>
    <xdr:to>
      <xdr:col>9</xdr:col>
      <xdr:colOff>200025</xdr:colOff>
      <xdr:row>30</xdr:row>
      <xdr:rowOff>47625</xdr:rowOff>
    </xdr:to>
    <xdr:sp>
      <xdr:nvSpPr>
        <xdr:cNvPr id="20" name="Line 71"/>
        <xdr:cNvSpPr>
          <a:spLocks/>
        </xdr:cNvSpPr>
      </xdr:nvSpPr>
      <xdr:spPr>
        <a:xfrm>
          <a:off x="3400425" y="439102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31</xdr:row>
      <xdr:rowOff>0</xdr:rowOff>
    </xdr:to>
    <xdr:sp>
      <xdr:nvSpPr>
        <xdr:cNvPr id="21" name="Line 72"/>
        <xdr:cNvSpPr>
          <a:spLocks/>
        </xdr:cNvSpPr>
      </xdr:nvSpPr>
      <xdr:spPr>
        <a:xfrm flipV="1">
          <a:off x="3724275" y="1295400"/>
          <a:ext cx="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" name="Line 73"/>
        <xdr:cNvSpPr>
          <a:spLocks/>
        </xdr:cNvSpPr>
      </xdr:nvSpPr>
      <xdr:spPr>
        <a:xfrm>
          <a:off x="2914650" y="2362200"/>
          <a:ext cx="314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14</xdr:row>
      <xdr:rowOff>0</xdr:rowOff>
    </xdr:to>
    <xdr:sp>
      <xdr:nvSpPr>
        <xdr:cNvPr id="23" name="Line 74"/>
        <xdr:cNvSpPr>
          <a:spLocks/>
        </xdr:cNvSpPr>
      </xdr:nvSpPr>
      <xdr:spPr>
        <a:xfrm>
          <a:off x="4248150" y="1295400"/>
          <a:ext cx="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31</xdr:row>
      <xdr:rowOff>0</xdr:rowOff>
    </xdr:to>
    <xdr:sp>
      <xdr:nvSpPr>
        <xdr:cNvPr id="24" name="Line 75"/>
        <xdr:cNvSpPr>
          <a:spLocks/>
        </xdr:cNvSpPr>
      </xdr:nvSpPr>
      <xdr:spPr>
        <a:xfrm>
          <a:off x="4248150" y="2362200"/>
          <a:ext cx="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25" name="Line 76"/>
        <xdr:cNvSpPr>
          <a:spLocks/>
        </xdr:cNvSpPr>
      </xdr:nvSpPr>
      <xdr:spPr>
        <a:xfrm>
          <a:off x="4248150" y="49530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26" name="Line 77"/>
        <xdr:cNvSpPr>
          <a:spLocks/>
        </xdr:cNvSpPr>
      </xdr:nvSpPr>
      <xdr:spPr>
        <a:xfrm>
          <a:off x="4248150" y="23622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13</xdr:col>
      <xdr:colOff>0</xdr:colOff>
      <xdr:row>31</xdr:row>
      <xdr:rowOff>0</xdr:rowOff>
    </xdr:to>
    <xdr:sp>
      <xdr:nvSpPr>
        <xdr:cNvPr id="27" name="Line 78"/>
        <xdr:cNvSpPr>
          <a:spLocks/>
        </xdr:cNvSpPr>
      </xdr:nvSpPr>
      <xdr:spPr>
        <a:xfrm>
          <a:off x="4248150" y="2362200"/>
          <a:ext cx="64770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14</xdr:row>
      <xdr:rowOff>0</xdr:rowOff>
    </xdr:to>
    <xdr:sp>
      <xdr:nvSpPr>
        <xdr:cNvPr id="28" name="Line 79"/>
        <xdr:cNvSpPr>
          <a:spLocks/>
        </xdr:cNvSpPr>
      </xdr:nvSpPr>
      <xdr:spPr>
        <a:xfrm>
          <a:off x="4248150" y="1295400"/>
          <a:ext cx="32385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31</xdr:row>
      <xdr:rowOff>0</xdr:rowOff>
    </xdr:to>
    <xdr:sp>
      <xdr:nvSpPr>
        <xdr:cNvPr id="29" name="Line 80"/>
        <xdr:cNvSpPr>
          <a:spLocks/>
        </xdr:cNvSpPr>
      </xdr:nvSpPr>
      <xdr:spPr>
        <a:xfrm>
          <a:off x="4572000" y="2362200"/>
          <a:ext cx="64770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22</xdr:row>
      <xdr:rowOff>0</xdr:rowOff>
    </xdr:from>
    <xdr:to>
      <xdr:col>13</xdr:col>
      <xdr:colOff>38100</xdr:colOff>
      <xdr:row>22</xdr:row>
      <xdr:rowOff>0</xdr:rowOff>
    </xdr:to>
    <xdr:sp>
      <xdr:nvSpPr>
        <xdr:cNvPr id="30" name="Line 81"/>
        <xdr:cNvSpPr>
          <a:spLocks/>
        </xdr:cNvSpPr>
      </xdr:nvSpPr>
      <xdr:spPr>
        <a:xfrm>
          <a:off x="4400550" y="3581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0</xdr:rowOff>
    </xdr:from>
    <xdr:to>
      <xdr:col>12</xdr:col>
      <xdr:colOff>123825</xdr:colOff>
      <xdr:row>27</xdr:row>
      <xdr:rowOff>0</xdr:rowOff>
    </xdr:to>
    <xdr:sp>
      <xdr:nvSpPr>
        <xdr:cNvPr id="31" name="Line 82"/>
        <xdr:cNvSpPr>
          <a:spLocks/>
        </xdr:cNvSpPr>
      </xdr:nvSpPr>
      <xdr:spPr>
        <a:xfrm>
          <a:off x="4162425" y="4343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5410200" y="1295400"/>
          <a:ext cx="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31</xdr:row>
      <xdr:rowOff>0</xdr:rowOff>
    </xdr:to>
    <xdr:sp>
      <xdr:nvSpPr>
        <xdr:cNvPr id="33" name="Line 84"/>
        <xdr:cNvSpPr>
          <a:spLocks/>
        </xdr:cNvSpPr>
      </xdr:nvSpPr>
      <xdr:spPr>
        <a:xfrm>
          <a:off x="5410200" y="2362200"/>
          <a:ext cx="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34" name="Line 85"/>
        <xdr:cNvSpPr>
          <a:spLocks/>
        </xdr:cNvSpPr>
      </xdr:nvSpPr>
      <xdr:spPr>
        <a:xfrm>
          <a:off x="5410200" y="49530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5" name="Line 86"/>
        <xdr:cNvSpPr>
          <a:spLocks/>
        </xdr:cNvSpPr>
      </xdr:nvSpPr>
      <xdr:spPr>
        <a:xfrm>
          <a:off x="5410200" y="23622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19050</xdr:rowOff>
    </xdr:from>
    <xdr:to>
      <xdr:col>16</xdr:col>
      <xdr:colOff>304800</xdr:colOff>
      <xdr:row>31</xdr:row>
      <xdr:rowOff>0</xdr:rowOff>
    </xdr:to>
    <xdr:sp>
      <xdr:nvSpPr>
        <xdr:cNvPr id="36" name="Line 87"/>
        <xdr:cNvSpPr>
          <a:spLocks/>
        </xdr:cNvSpPr>
      </xdr:nvSpPr>
      <xdr:spPr>
        <a:xfrm>
          <a:off x="5410200" y="2381250"/>
          <a:ext cx="62865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14</xdr:row>
      <xdr:rowOff>0</xdr:rowOff>
    </xdr:to>
    <xdr:sp>
      <xdr:nvSpPr>
        <xdr:cNvPr id="37" name="Line 88"/>
        <xdr:cNvSpPr>
          <a:spLocks/>
        </xdr:cNvSpPr>
      </xdr:nvSpPr>
      <xdr:spPr>
        <a:xfrm>
          <a:off x="5410200" y="1295400"/>
          <a:ext cx="323850" cy="1066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18</xdr:col>
      <xdr:colOff>0</xdr:colOff>
      <xdr:row>31</xdr:row>
      <xdr:rowOff>0</xdr:rowOff>
    </xdr:to>
    <xdr:sp>
      <xdr:nvSpPr>
        <xdr:cNvPr id="38" name="Line 89"/>
        <xdr:cNvSpPr>
          <a:spLocks/>
        </xdr:cNvSpPr>
      </xdr:nvSpPr>
      <xdr:spPr>
        <a:xfrm>
          <a:off x="5734050" y="2362200"/>
          <a:ext cx="647700" cy="2590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22</xdr:row>
      <xdr:rowOff>0</xdr:rowOff>
    </xdr:from>
    <xdr:to>
      <xdr:col>17</xdr:col>
      <xdr:colOff>38100</xdr:colOff>
      <xdr:row>22</xdr:row>
      <xdr:rowOff>0</xdr:rowOff>
    </xdr:to>
    <xdr:sp>
      <xdr:nvSpPr>
        <xdr:cNvPr id="39" name="Line 90"/>
        <xdr:cNvSpPr>
          <a:spLocks/>
        </xdr:cNvSpPr>
      </xdr:nvSpPr>
      <xdr:spPr>
        <a:xfrm>
          <a:off x="5562600" y="358140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16</xdr:col>
      <xdr:colOff>123825</xdr:colOff>
      <xdr:row>27</xdr:row>
      <xdr:rowOff>0</xdr:rowOff>
    </xdr:to>
    <xdr:sp>
      <xdr:nvSpPr>
        <xdr:cNvPr id="40" name="Line 91"/>
        <xdr:cNvSpPr>
          <a:spLocks/>
        </xdr:cNvSpPr>
      </xdr:nvSpPr>
      <xdr:spPr>
        <a:xfrm>
          <a:off x="5410200" y="43434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41" name="Line 92"/>
        <xdr:cNvSpPr>
          <a:spLocks/>
        </xdr:cNvSpPr>
      </xdr:nvSpPr>
      <xdr:spPr>
        <a:xfrm>
          <a:off x="6381750" y="2362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42" name="Line 93"/>
        <xdr:cNvSpPr>
          <a:spLocks/>
        </xdr:cNvSpPr>
      </xdr:nvSpPr>
      <xdr:spPr>
        <a:xfrm>
          <a:off x="6496050" y="4953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14</xdr:row>
      <xdr:rowOff>0</xdr:rowOff>
    </xdr:to>
    <xdr:sp>
      <xdr:nvSpPr>
        <xdr:cNvPr id="43" name="Line 94"/>
        <xdr:cNvSpPr>
          <a:spLocks/>
        </xdr:cNvSpPr>
      </xdr:nvSpPr>
      <xdr:spPr>
        <a:xfrm>
          <a:off x="6953250" y="1295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31</xdr:row>
      <xdr:rowOff>0</xdr:rowOff>
    </xdr:to>
    <xdr:sp>
      <xdr:nvSpPr>
        <xdr:cNvPr id="44" name="Line 95"/>
        <xdr:cNvSpPr>
          <a:spLocks/>
        </xdr:cNvSpPr>
      </xdr:nvSpPr>
      <xdr:spPr>
        <a:xfrm>
          <a:off x="6953250" y="2362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22</xdr:row>
      <xdr:rowOff>19050</xdr:rowOff>
    </xdr:from>
    <xdr:to>
      <xdr:col>9</xdr:col>
      <xdr:colOff>381000</xdr:colOff>
      <xdr:row>25</xdr:row>
      <xdr:rowOff>19050</xdr:rowOff>
    </xdr:to>
    <xdr:sp>
      <xdr:nvSpPr>
        <xdr:cNvPr id="45" name="Line 96"/>
        <xdr:cNvSpPr>
          <a:spLocks/>
        </xdr:cNvSpPr>
      </xdr:nvSpPr>
      <xdr:spPr>
        <a:xfrm>
          <a:off x="3581400" y="3600450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17</xdr:row>
      <xdr:rowOff>47625</xdr:rowOff>
    </xdr:from>
    <xdr:to>
      <xdr:col>9</xdr:col>
      <xdr:colOff>276225</xdr:colOff>
      <xdr:row>20</xdr:row>
      <xdr:rowOff>47625</xdr:rowOff>
    </xdr:to>
    <xdr:sp>
      <xdr:nvSpPr>
        <xdr:cNvPr id="46" name="Line 97"/>
        <xdr:cNvSpPr>
          <a:spLocks/>
        </xdr:cNvSpPr>
      </xdr:nvSpPr>
      <xdr:spPr>
        <a:xfrm>
          <a:off x="3476625" y="286702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9</xdr:row>
      <xdr:rowOff>38100</xdr:rowOff>
    </xdr:from>
    <xdr:to>
      <xdr:col>9</xdr:col>
      <xdr:colOff>152400</xdr:colOff>
      <xdr:row>12</xdr:row>
      <xdr:rowOff>38100</xdr:rowOff>
    </xdr:to>
    <xdr:sp>
      <xdr:nvSpPr>
        <xdr:cNvPr id="47" name="Line 98"/>
        <xdr:cNvSpPr>
          <a:spLocks/>
        </xdr:cNvSpPr>
      </xdr:nvSpPr>
      <xdr:spPr>
        <a:xfrm>
          <a:off x="3352800" y="1638300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99"/>
        <xdr:cNvSpPr>
          <a:spLocks/>
        </xdr:cNvSpPr>
      </xdr:nvSpPr>
      <xdr:spPr>
        <a:xfrm>
          <a:off x="2324100" y="8382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14</xdr:row>
      <xdr:rowOff>0</xdr:rowOff>
    </xdr:to>
    <xdr:sp>
      <xdr:nvSpPr>
        <xdr:cNvPr id="49" name="Line 100"/>
        <xdr:cNvSpPr>
          <a:spLocks/>
        </xdr:cNvSpPr>
      </xdr:nvSpPr>
      <xdr:spPr>
        <a:xfrm>
          <a:off x="2324100" y="838200"/>
          <a:ext cx="0" cy="1524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14</xdr:row>
      <xdr:rowOff>0</xdr:rowOff>
    </xdr:to>
    <xdr:sp>
      <xdr:nvSpPr>
        <xdr:cNvPr id="50" name="Line 101"/>
        <xdr:cNvSpPr>
          <a:spLocks/>
        </xdr:cNvSpPr>
      </xdr:nvSpPr>
      <xdr:spPr>
        <a:xfrm>
          <a:off x="2914650" y="838200"/>
          <a:ext cx="0" cy="1524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" name="Line 102"/>
        <xdr:cNvSpPr>
          <a:spLocks/>
        </xdr:cNvSpPr>
      </xdr:nvSpPr>
      <xdr:spPr>
        <a:xfrm flipH="1">
          <a:off x="781050" y="2362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14</xdr:row>
      <xdr:rowOff>0</xdr:rowOff>
    </xdr:to>
    <xdr:sp>
      <xdr:nvSpPr>
        <xdr:cNvPr id="52" name="Line 103"/>
        <xdr:cNvSpPr>
          <a:spLocks/>
        </xdr:cNvSpPr>
      </xdr:nvSpPr>
      <xdr:spPr>
        <a:xfrm flipV="1">
          <a:off x="895350" y="8382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3" name="Line 104"/>
        <xdr:cNvSpPr>
          <a:spLocks/>
        </xdr:cNvSpPr>
      </xdr:nvSpPr>
      <xdr:spPr>
        <a:xfrm flipH="1">
          <a:off x="2914650" y="1295400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8</xdr:row>
      <xdr:rowOff>28575</xdr:rowOff>
    </xdr:from>
    <xdr:to>
      <xdr:col>7</xdr:col>
      <xdr:colOff>295275</xdr:colOff>
      <xdr:row>11</xdr:row>
      <xdr:rowOff>28575</xdr:rowOff>
    </xdr:to>
    <xdr:sp>
      <xdr:nvSpPr>
        <xdr:cNvPr id="54" name="Line 105"/>
        <xdr:cNvSpPr>
          <a:spLocks/>
        </xdr:cNvSpPr>
      </xdr:nvSpPr>
      <xdr:spPr>
        <a:xfrm>
          <a:off x="2619375" y="14763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7.625" style="3" customWidth="1"/>
    <col min="2" max="2" width="4.625" style="11" customWidth="1"/>
    <col min="3" max="3" width="2.625" style="11" customWidth="1"/>
    <col min="4" max="4" width="6.625" style="11" customWidth="1"/>
    <col min="5" max="5" width="2.625" style="11" customWidth="1"/>
    <col min="6" max="6" width="5.625" style="11" customWidth="1"/>
    <col min="7" max="8" width="4.625" style="11" customWidth="1"/>
    <col min="9" max="9" width="2.625" style="11" customWidth="1"/>
    <col min="10" max="10" width="6.625" style="11" customWidth="1"/>
    <col min="11" max="11" width="2.625" style="11" customWidth="1"/>
    <col min="12" max="12" width="5.625" style="11" customWidth="1"/>
    <col min="13" max="14" width="4.625" style="11" customWidth="1"/>
    <col min="15" max="15" width="2.625" style="11" customWidth="1"/>
    <col min="16" max="16" width="6.625" style="11" customWidth="1"/>
    <col min="17" max="17" width="2.625" style="11" customWidth="1"/>
    <col min="18" max="18" width="5.625" style="11" customWidth="1"/>
    <col min="19" max="20" width="4.625" style="11" customWidth="1"/>
    <col min="21" max="21" width="2.625" style="11" customWidth="1"/>
    <col min="22" max="22" width="6.625" style="11" customWidth="1"/>
    <col min="23" max="23" width="2.625" style="11" customWidth="1"/>
    <col min="24" max="24" width="5.625" style="11" customWidth="1"/>
    <col min="25" max="26" width="4.625" style="11" customWidth="1"/>
    <col min="27" max="27" width="2.625" style="11" customWidth="1"/>
    <col min="28" max="28" width="6.625" style="11" customWidth="1"/>
    <col min="29" max="29" width="2.625" style="11" customWidth="1"/>
    <col min="30" max="30" width="5.625" style="11" customWidth="1"/>
    <col min="31" max="31" width="4.625" style="11" customWidth="1"/>
    <col min="32" max="32" width="6.625" style="11" customWidth="1"/>
    <col min="33" max="33" width="9.00390625" style="11" customWidth="1"/>
    <col min="34" max="34" width="8.25390625" style="11" customWidth="1"/>
    <col min="35" max="16384" width="9.00390625" style="11" customWidth="1"/>
  </cols>
  <sheetData>
    <row r="1" spans="1:4" ht="13.5">
      <c r="A1" s="72" t="s">
        <v>337</v>
      </c>
      <c r="B1" s="26"/>
      <c r="C1" s="26"/>
      <c r="D1" s="26"/>
    </row>
    <row r="2" ht="12.75">
      <c r="A2" s="73"/>
    </row>
    <row r="3" ht="15.75" customHeight="1">
      <c r="A3" s="72" t="s">
        <v>89</v>
      </c>
    </row>
    <row r="4" ht="15.75" customHeight="1" thickBot="1">
      <c r="A4" s="72"/>
    </row>
    <row r="5" spans="1:31" s="3" customFormat="1" ht="19.5" customHeight="1">
      <c r="A5" s="252"/>
      <c r="B5" s="262" t="s">
        <v>318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 t="s">
        <v>330</v>
      </c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3"/>
    </row>
    <row r="6" spans="1:31" ht="19.5" customHeight="1" thickBot="1">
      <c r="A6" s="251" t="s">
        <v>5</v>
      </c>
      <c r="B6" s="259" t="s">
        <v>319</v>
      </c>
      <c r="C6" s="260"/>
      <c r="D6" s="260"/>
      <c r="E6" s="260"/>
      <c r="F6" s="260"/>
      <c r="G6" s="261"/>
      <c r="H6" s="259" t="s">
        <v>320</v>
      </c>
      <c r="I6" s="260"/>
      <c r="J6" s="260"/>
      <c r="K6" s="260"/>
      <c r="L6" s="260"/>
      <c r="M6" s="260"/>
      <c r="N6" s="259" t="s">
        <v>331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1"/>
      <c r="Z6" s="259" t="s">
        <v>332</v>
      </c>
      <c r="AA6" s="260"/>
      <c r="AB6" s="260"/>
      <c r="AC6" s="260"/>
      <c r="AD6" s="260"/>
      <c r="AE6" s="272"/>
    </row>
    <row r="7" spans="1:31" ht="4.5" customHeight="1" thickTop="1">
      <c r="A7" s="278" t="s">
        <v>329</v>
      </c>
      <c r="B7" s="28"/>
      <c r="C7" s="27"/>
      <c r="D7" s="27"/>
      <c r="E7" s="27"/>
      <c r="F7" s="27"/>
      <c r="G7" s="56"/>
      <c r="H7" s="28"/>
      <c r="I7" s="27"/>
      <c r="J7" s="27"/>
      <c r="K7" s="29"/>
      <c r="L7" s="27"/>
      <c r="M7" s="27"/>
      <c r="N7" s="28"/>
      <c r="O7" s="27"/>
      <c r="P7" s="27"/>
      <c r="Q7" s="29"/>
      <c r="R7" s="27"/>
      <c r="S7" s="27"/>
      <c r="T7" s="28"/>
      <c r="U7" s="27"/>
      <c r="V7" s="27"/>
      <c r="W7" s="29"/>
      <c r="X7" s="27"/>
      <c r="Y7" s="27"/>
      <c r="Z7" s="28"/>
      <c r="AA7" s="27"/>
      <c r="AB7" s="27"/>
      <c r="AC7" s="29"/>
      <c r="AD7" s="27"/>
      <c r="AE7" s="31"/>
    </row>
    <row r="8" spans="1:31" ht="15" customHeight="1">
      <c r="A8" s="279"/>
      <c r="B8" s="28"/>
      <c r="C8" s="27"/>
      <c r="D8" s="27"/>
      <c r="E8" s="27"/>
      <c r="F8" s="27"/>
      <c r="G8" s="56"/>
      <c r="H8" s="28"/>
      <c r="I8" s="27"/>
      <c r="J8" s="27"/>
      <c r="K8" s="29"/>
      <c r="L8" s="27"/>
      <c r="M8" s="27"/>
      <c r="N8" s="28"/>
      <c r="O8" s="29" t="s">
        <v>128</v>
      </c>
      <c r="P8" s="27"/>
      <c r="Q8" s="29"/>
      <c r="R8" s="27"/>
      <c r="S8" s="27"/>
      <c r="T8" s="28"/>
      <c r="U8" s="29" t="s">
        <v>333</v>
      </c>
      <c r="V8" s="27"/>
      <c r="W8" s="29"/>
      <c r="X8" s="27"/>
      <c r="Y8" s="27"/>
      <c r="Z8" s="28"/>
      <c r="AA8" s="27"/>
      <c r="AB8" s="27"/>
      <c r="AC8" s="29"/>
      <c r="AD8" s="27"/>
      <c r="AE8" s="31"/>
    </row>
    <row r="9" spans="1:31" ht="15" customHeight="1">
      <c r="A9" s="279"/>
      <c r="B9" s="28"/>
      <c r="C9" s="29"/>
      <c r="D9" s="27"/>
      <c r="E9" s="27"/>
      <c r="F9" s="27"/>
      <c r="G9" s="56"/>
      <c r="H9" s="28"/>
      <c r="I9" s="27"/>
      <c r="J9" s="27"/>
      <c r="K9" s="29"/>
      <c r="L9" s="27"/>
      <c r="M9" s="27"/>
      <c r="N9" s="28"/>
      <c r="O9" s="27"/>
      <c r="P9" s="27"/>
      <c r="Q9" s="29"/>
      <c r="R9" s="27"/>
      <c r="S9" s="27"/>
      <c r="T9" s="28"/>
      <c r="U9" s="27"/>
      <c r="V9" s="27"/>
      <c r="W9" s="29"/>
      <c r="X9" s="27"/>
      <c r="Y9" s="27"/>
      <c r="Z9" s="28"/>
      <c r="AA9" s="27"/>
      <c r="AB9" s="27"/>
      <c r="AC9" s="29"/>
      <c r="AD9" s="27"/>
      <c r="AE9" s="31"/>
    </row>
    <row r="10" spans="1:31" ht="12.75" customHeight="1">
      <c r="A10" s="279"/>
      <c r="B10" s="32"/>
      <c r="C10" s="12"/>
      <c r="D10" s="12"/>
      <c r="E10" s="12"/>
      <c r="F10" s="12" t="s">
        <v>82</v>
      </c>
      <c r="G10" s="51"/>
      <c r="H10" s="32"/>
      <c r="I10" s="30"/>
      <c r="J10" s="12"/>
      <c r="K10" s="12"/>
      <c r="L10" s="12"/>
      <c r="M10" s="12"/>
      <c r="N10" s="32"/>
      <c r="O10" s="30"/>
      <c r="P10" s="12"/>
      <c r="Q10" s="12"/>
      <c r="R10" s="12"/>
      <c r="S10" s="12"/>
      <c r="T10" s="32"/>
      <c r="U10" s="30"/>
      <c r="V10" s="12"/>
      <c r="W10" s="12"/>
      <c r="X10" s="12"/>
      <c r="Y10" s="12"/>
      <c r="Z10" s="32"/>
      <c r="AA10" s="30"/>
      <c r="AB10" s="12"/>
      <c r="AC10" s="12"/>
      <c r="AD10" s="12"/>
      <c r="AE10" s="33"/>
    </row>
    <row r="11" spans="1:31" ht="12.75" customHeight="1">
      <c r="A11" s="279"/>
      <c r="B11" s="32"/>
      <c r="C11" s="12"/>
      <c r="D11" s="12"/>
      <c r="E11" s="12"/>
      <c r="F11" s="34" t="s">
        <v>83</v>
      </c>
      <c r="G11" s="51"/>
      <c r="H11" s="32"/>
      <c r="I11" s="12"/>
      <c r="J11" s="12"/>
      <c r="K11" s="12"/>
      <c r="L11" s="12"/>
      <c r="M11" s="12"/>
      <c r="N11" s="32"/>
      <c r="O11" s="12"/>
      <c r="P11" s="12"/>
      <c r="Q11" s="12"/>
      <c r="R11" s="12"/>
      <c r="S11" s="12"/>
      <c r="T11" s="32"/>
      <c r="U11" s="12"/>
      <c r="V11" s="12"/>
      <c r="W11" s="12"/>
      <c r="X11" s="12"/>
      <c r="Y11" s="12"/>
      <c r="Z11" s="32"/>
      <c r="AA11" s="12"/>
      <c r="AB11" s="12"/>
      <c r="AC11" s="12"/>
      <c r="AD11" s="12"/>
      <c r="AE11" s="33"/>
    </row>
    <row r="12" spans="1:31" ht="12.75" customHeight="1">
      <c r="A12" s="279"/>
      <c r="B12" s="32"/>
      <c r="C12" s="12"/>
      <c r="D12" s="12"/>
      <c r="E12" s="12"/>
      <c r="F12" s="12"/>
      <c r="G12" s="51"/>
      <c r="H12" s="32"/>
      <c r="I12" s="12"/>
      <c r="J12" s="12"/>
      <c r="K12" s="12"/>
      <c r="L12" s="12"/>
      <c r="M12" s="12"/>
      <c r="N12" s="32"/>
      <c r="O12" s="12"/>
      <c r="P12" s="12"/>
      <c r="Q12" s="12"/>
      <c r="R12" s="37" t="s">
        <v>0</v>
      </c>
      <c r="S12" s="12"/>
      <c r="T12" s="32"/>
      <c r="U12" s="12"/>
      <c r="V12" s="12"/>
      <c r="W12" s="12"/>
      <c r="X12" s="37" t="s">
        <v>0</v>
      </c>
      <c r="Y12" s="12"/>
      <c r="Z12" s="32"/>
      <c r="AA12" s="12"/>
      <c r="AB12" s="12"/>
      <c r="AC12" s="12"/>
      <c r="AD12" s="37" t="s">
        <v>0</v>
      </c>
      <c r="AE12" s="33"/>
    </row>
    <row r="13" spans="1:31" ht="12.75" customHeight="1">
      <c r="A13" s="279"/>
      <c r="B13" s="35"/>
      <c r="C13" s="12"/>
      <c r="D13" s="273">
        <f>'洪水1-1'!B19</f>
        <v>11</v>
      </c>
      <c r="E13" s="12"/>
      <c r="F13" s="12"/>
      <c r="G13" s="51"/>
      <c r="H13" s="35"/>
      <c r="I13" s="12"/>
      <c r="J13" s="273">
        <f>D13</f>
        <v>11</v>
      </c>
      <c r="K13" s="12"/>
      <c r="L13" s="12"/>
      <c r="M13" s="12"/>
      <c r="N13" s="35"/>
      <c r="O13" s="12"/>
      <c r="P13" s="273">
        <f>J13</f>
        <v>11</v>
      </c>
      <c r="Q13" s="12"/>
      <c r="R13" s="249"/>
      <c r="S13" s="12"/>
      <c r="T13" s="35"/>
      <c r="U13" s="12"/>
      <c r="V13" s="273">
        <f>P13</f>
        <v>11</v>
      </c>
      <c r="W13" s="12"/>
      <c r="X13" s="249"/>
      <c r="Y13" s="12"/>
      <c r="Z13" s="35"/>
      <c r="AA13" s="12"/>
      <c r="AB13" s="273">
        <f>V13</f>
        <v>11</v>
      </c>
      <c r="AC13" s="12"/>
      <c r="AD13" s="249"/>
      <c r="AE13" s="33"/>
    </row>
    <row r="14" spans="1:31" ht="12.75" customHeight="1">
      <c r="A14" s="279"/>
      <c r="B14" s="36"/>
      <c r="C14" s="12"/>
      <c r="D14" s="273"/>
      <c r="E14" s="12"/>
      <c r="F14" s="12"/>
      <c r="G14" s="51"/>
      <c r="H14" s="36"/>
      <c r="I14" s="12"/>
      <c r="J14" s="273"/>
      <c r="K14" s="12"/>
      <c r="L14" s="12"/>
      <c r="M14" s="12"/>
      <c r="N14" s="36"/>
      <c r="O14" s="12"/>
      <c r="P14" s="273"/>
      <c r="Q14" s="12"/>
      <c r="R14" s="12"/>
      <c r="S14" s="12"/>
      <c r="T14" s="36"/>
      <c r="U14" s="12"/>
      <c r="V14" s="273"/>
      <c r="W14" s="12"/>
      <c r="X14" s="12"/>
      <c r="Y14" s="12"/>
      <c r="Z14" s="36"/>
      <c r="AA14" s="12"/>
      <c r="AB14" s="273"/>
      <c r="AC14" s="12"/>
      <c r="AD14" s="12"/>
      <c r="AE14" s="33"/>
    </row>
    <row r="15" spans="1:31" ht="12.75" customHeight="1">
      <c r="A15" s="279"/>
      <c r="B15" s="36"/>
      <c r="C15" s="12"/>
      <c r="D15" s="273"/>
      <c r="E15" s="12"/>
      <c r="F15" s="37"/>
      <c r="G15" s="51"/>
      <c r="H15" s="36"/>
      <c r="I15" s="12"/>
      <c r="J15" s="273"/>
      <c r="K15" s="12"/>
      <c r="L15" s="37" t="s">
        <v>0</v>
      </c>
      <c r="M15" s="12"/>
      <c r="N15" s="36"/>
      <c r="O15" s="12"/>
      <c r="P15" s="273"/>
      <c r="Q15" s="12"/>
      <c r="R15" s="250"/>
      <c r="S15" s="12"/>
      <c r="T15" s="36"/>
      <c r="U15" s="12"/>
      <c r="V15" s="273"/>
      <c r="W15" s="12"/>
      <c r="X15" s="250"/>
      <c r="Y15" s="12"/>
      <c r="Z15" s="36"/>
      <c r="AA15" s="12"/>
      <c r="AB15" s="273"/>
      <c r="AC15" s="12"/>
      <c r="AD15" s="250"/>
      <c r="AE15" s="33"/>
    </row>
    <row r="16" spans="1:31" ht="12.75" customHeight="1">
      <c r="A16" s="279"/>
      <c r="B16" s="274">
        <f>'洪水1-1'!F15</f>
        <v>0.2</v>
      </c>
      <c r="C16" s="12"/>
      <c r="D16" s="273"/>
      <c r="E16" s="12"/>
      <c r="F16" s="275">
        <f>'洪水1-1'!I16</f>
        <v>0.35</v>
      </c>
      <c r="G16" s="51"/>
      <c r="H16" s="274">
        <f>B16</f>
        <v>0.2</v>
      </c>
      <c r="I16" s="12"/>
      <c r="J16" s="273"/>
      <c r="K16" s="12"/>
      <c r="L16" s="275">
        <f>F16</f>
        <v>0.35</v>
      </c>
      <c r="M16" s="12"/>
      <c r="N16" s="274">
        <f>H16</f>
        <v>0.2</v>
      </c>
      <c r="O16" s="12"/>
      <c r="P16" s="273"/>
      <c r="Q16" s="12"/>
      <c r="R16" s="275">
        <f>L16</f>
        <v>0.35</v>
      </c>
      <c r="S16" s="12"/>
      <c r="T16" s="274">
        <f>N16</f>
        <v>0.2</v>
      </c>
      <c r="U16" s="12"/>
      <c r="V16" s="273"/>
      <c r="W16" s="12"/>
      <c r="X16" s="275">
        <f>R16-0.05</f>
        <v>0.3</v>
      </c>
      <c r="Y16" s="12"/>
      <c r="Z16" s="274">
        <f>T16</f>
        <v>0.2</v>
      </c>
      <c r="AA16" s="12"/>
      <c r="AB16" s="273"/>
      <c r="AC16" s="12"/>
      <c r="AD16" s="275">
        <f>R16</f>
        <v>0.35</v>
      </c>
      <c r="AE16" s="33"/>
    </row>
    <row r="17" spans="1:31" ht="12.75" customHeight="1">
      <c r="A17" s="279"/>
      <c r="B17" s="274"/>
      <c r="C17" s="12"/>
      <c r="D17" s="273"/>
      <c r="E17" s="12"/>
      <c r="F17" s="275"/>
      <c r="G17" s="51"/>
      <c r="H17" s="274"/>
      <c r="I17" s="12"/>
      <c r="J17" s="273"/>
      <c r="K17" s="12"/>
      <c r="L17" s="275"/>
      <c r="M17" s="12"/>
      <c r="N17" s="274"/>
      <c r="O17" s="12"/>
      <c r="P17" s="273"/>
      <c r="Q17" s="12"/>
      <c r="R17" s="275"/>
      <c r="S17" s="12"/>
      <c r="T17" s="274"/>
      <c r="U17" s="12"/>
      <c r="V17" s="273"/>
      <c r="W17" s="12"/>
      <c r="X17" s="275"/>
      <c r="Y17" s="12"/>
      <c r="Z17" s="274"/>
      <c r="AA17" s="12"/>
      <c r="AB17" s="273"/>
      <c r="AC17" s="12"/>
      <c r="AD17" s="275"/>
      <c r="AE17" s="33"/>
    </row>
    <row r="18" spans="1:31" ht="12.75" customHeight="1">
      <c r="A18" s="279"/>
      <c r="B18" s="274"/>
      <c r="C18" s="12"/>
      <c r="D18" s="273"/>
      <c r="E18" s="12"/>
      <c r="F18" s="275"/>
      <c r="G18" s="51"/>
      <c r="H18" s="274"/>
      <c r="I18" s="12"/>
      <c r="J18" s="273"/>
      <c r="K18" s="12"/>
      <c r="L18" s="275"/>
      <c r="M18" s="12"/>
      <c r="N18" s="274"/>
      <c r="O18" s="12"/>
      <c r="P18" s="273"/>
      <c r="Q18" s="12"/>
      <c r="R18" s="275"/>
      <c r="S18" s="12"/>
      <c r="T18" s="274"/>
      <c r="U18" s="12"/>
      <c r="V18" s="273"/>
      <c r="W18" s="12"/>
      <c r="X18" s="275"/>
      <c r="Y18" s="12"/>
      <c r="Z18" s="274"/>
      <c r="AA18" s="12"/>
      <c r="AB18" s="273"/>
      <c r="AC18" s="12"/>
      <c r="AD18" s="275"/>
      <c r="AE18" s="33"/>
    </row>
    <row r="19" spans="1:31" ht="12.75" customHeight="1">
      <c r="A19" s="279"/>
      <c r="B19" s="274"/>
      <c r="C19" s="12"/>
      <c r="D19" s="273"/>
      <c r="E19" s="12"/>
      <c r="F19" s="275"/>
      <c r="G19" s="51"/>
      <c r="H19" s="274"/>
      <c r="I19" s="12"/>
      <c r="J19" s="273"/>
      <c r="K19" s="12"/>
      <c r="L19" s="275"/>
      <c r="M19" s="12"/>
      <c r="N19" s="274"/>
      <c r="O19" s="12"/>
      <c r="P19" s="273"/>
      <c r="Q19" s="12"/>
      <c r="R19" s="275"/>
      <c r="S19" s="12"/>
      <c r="T19" s="274"/>
      <c r="U19" s="12"/>
      <c r="V19" s="273"/>
      <c r="W19" s="12"/>
      <c r="X19" s="275"/>
      <c r="Y19" s="12"/>
      <c r="Z19" s="274"/>
      <c r="AA19" s="12"/>
      <c r="AB19" s="273"/>
      <c r="AC19" s="12"/>
      <c r="AD19" s="275"/>
      <c r="AE19" s="33"/>
    </row>
    <row r="20" spans="1:31" ht="8.25" customHeight="1">
      <c r="A20" s="279"/>
      <c r="B20" s="32"/>
      <c r="C20" s="12"/>
      <c r="D20" s="12"/>
      <c r="E20" s="12"/>
      <c r="F20" s="12"/>
      <c r="G20" s="51"/>
      <c r="H20" s="32"/>
      <c r="I20" s="12"/>
      <c r="J20" s="12"/>
      <c r="K20" s="12"/>
      <c r="L20" s="12"/>
      <c r="M20" s="12"/>
      <c r="N20" s="32"/>
      <c r="O20" s="12"/>
      <c r="P20" s="12"/>
      <c r="Q20" s="12"/>
      <c r="R20" s="12"/>
      <c r="S20" s="12"/>
      <c r="T20" s="32"/>
      <c r="U20" s="12"/>
      <c r="V20" s="12"/>
      <c r="W20" s="12"/>
      <c r="X20" s="12"/>
      <c r="Y20" s="12"/>
      <c r="Z20" s="32"/>
      <c r="AA20" s="12"/>
      <c r="AB20" s="12"/>
      <c r="AC20" s="12"/>
      <c r="AD20" s="12"/>
      <c r="AE20" s="33"/>
    </row>
    <row r="21" spans="1:31" ht="12.75" customHeight="1">
      <c r="A21" s="279"/>
      <c r="B21" s="32"/>
      <c r="C21" s="276">
        <f>'洪水1-1'!F37</f>
        <v>9.05</v>
      </c>
      <c r="D21" s="276"/>
      <c r="E21" s="276"/>
      <c r="F21" s="12"/>
      <c r="G21" s="51"/>
      <c r="H21" s="32"/>
      <c r="I21" s="276">
        <f>C21</f>
        <v>9.05</v>
      </c>
      <c r="J21" s="276"/>
      <c r="K21" s="276"/>
      <c r="L21" s="12"/>
      <c r="M21" s="12"/>
      <c r="N21" s="32"/>
      <c r="O21" s="276">
        <f>I21</f>
        <v>9.05</v>
      </c>
      <c r="P21" s="276"/>
      <c r="Q21" s="276"/>
      <c r="R21" s="12"/>
      <c r="S21" s="12"/>
      <c r="T21" s="32"/>
      <c r="U21" s="276">
        <f>'土石流時3-1'!F39</f>
        <v>8.5</v>
      </c>
      <c r="V21" s="276"/>
      <c r="W21" s="276"/>
      <c r="X21" s="12"/>
      <c r="Y21" s="12"/>
      <c r="Z21" s="32"/>
      <c r="AA21" s="276">
        <f>O21</f>
        <v>9.05</v>
      </c>
      <c r="AB21" s="276"/>
      <c r="AC21" s="276"/>
      <c r="AD21" s="12"/>
      <c r="AE21" s="33"/>
    </row>
    <row r="22" spans="1:31" ht="12.75" customHeight="1">
      <c r="A22" s="280"/>
      <c r="B22" s="39"/>
      <c r="C22" s="40"/>
      <c r="D22" s="40"/>
      <c r="E22" s="40"/>
      <c r="F22" s="40"/>
      <c r="G22" s="58"/>
      <c r="H22" s="39"/>
      <c r="I22" s="40"/>
      <c r="J22" s="40"/>
      <c r="K22" s="40"/>
      <c r="L22" s="40"/>
      <c r="M22" s="40"/>
      <c r="N22" s="39"/>
      <c r="O22" s="40"/>
      <c r="P22" s="40"/>
      <c r="Q22" s="40"/>
      <c r="R22" s="40"/>
      <c r="S22" s="40"/>
      <c r="T22" s="39"/>
      <c r="U22" s="40"/>
      <c r="V22" s="40"/>
      <c r="W22" s="40"/>
      <c r="X22" s="40"/>
      <c r="Y22" s="40"/>
      <c r="Z22" s="39"/>
      <c r="AA22" s="40"/>
      <c r="AB22" s="40"/>
      <c r="AC22" s="40"/>
      <c r="AD22" s="40"/>
      <c r="AE22" s="41"/>
    </row>
    <row r="23" spans="1:31" ht="7.5" customHeight="1">
      <c r="A23" s="281" t="s">
        <v>2</v>
      </c>
      <c r="B23" s="43"/>
      <c r="C23" s="42"/>
      <c r="D23" s="42"/>
      <c r="E23" s="42"/>
      <c r="F23" s="42"/>
      <c r="G23" s="44"/>
      <c r="H23" s="43"/>
      <c r="I23" s="42"/>
      <c r="J23" s="42"/>
      <c r="K23" s="42"/>
      <c r="L23" s="42"/>
      <c r="M23" s="42"/>
      <c r="N23" s="43"/>
      <c r="O23" s="42"/>
      <c r="P23" s="42"/>
      <c r="Q23" s="42"/>
      <c r="R23" s="42"/>
      <c r="S23" s="42"/>
      <c r="T23" s="43"/>
      <c r="U23" s="42"/>
      <c r="V23" s="42"/>
      <c r="W23" s="42"/>
      <c r="X23" s="42"/>
      <c r="Y23" s="42"/>
      <c r="Z23" s="43"/>
      <c r="AA23" s="42"/>
      <c r="AB23" s="42"/>
      <c r="AC23" s="42"/>
      <c r="AD23" s="42"/>
      <c r="AE23" s="45"/>
    </row>
    <row r="24" spans="1:31" ht="12.75" customHeight="1">
      <c r="A24" s="279"/>
      <c r="B24" s="241">
        <v>0</v>
      </c>
      <c r="C24" s="13" t="s">
        <v>12</v>
      </c>
      <c r="D24" s="242" t="s">
        <v>321</v>
      </c>
      <c r="E24" s="13" t="s">
        <v>12</v>
      </c>
      <c r="F24" s="13" t="s">
        <v>322</v>
      </c>
      <c r="G24" s="56"/>
      <c r="H24" s="241">
        <v>0</v>
      </c>
      <c r="I24" s="13" t="s">
        <v>12</v>
      </c>
      <c r="J24" s="242" t="s">
        <v>321</v>
      </c>
      <c r="K24" s="13" t="s">
        <v>12</v>
      </c>
      <c r="L24" s="13" t="s">
        <v>322</v>
      </c>
      <c r="M24" s="27"/>
      <c r="N24" s="241">
        <v>0</v>
      </c>
      <c r="O24" s="13" t="s">
        <v>12</v>
      </c>
      <c r="P24" s="242" t="s">
        <v>321</v>
      </c>
      <c r="Q24" s="13" t="s">
        <v>12</v>
      </c>
      <c r="R24" s="13" t="s">
        <v>137</v>
      </c>
      <c r="S24" s="27"/>
      <c r="T24" s="241">
        <v>0</v>
      </c>
      <c r="U24" s="13" t="s">
        <v>12</v>
      </c>
      <c r="V24" s="242" t="s">
        <v>321</v>
      </c>
      <c r="W24" s="13" t="s">
        <v>12</v>
      </c>
      <c r="X24" s="13" t="s">
        <v>137</v>
      </c>
      <c r="Y24" s="27"/>
      <c r="Z24" s="241">
        <v>0</v>
      </c>
      <c r="AA24" s="13" t="s">
        <v>12</v>
      </c>
      <c r="AB24" s="242" t="s">
        <v>321</v>
      </c>
      <c r="AC24" s="13" t="s">
        <v>12</v>
      </c>
      <c r="AD24" s="13" t="s">
        <v>137</v>
      </c>
      <c r="AE24" s="31"/>
    </row>
    <row r="25" spans="1:31" ht="9.75" customHeight="1">
      <c r="A25" s="279"/>
      <c r="B25" s="35"/>
      <c r="C25" s="30"/>
      <c r="D25" s="37" t="s">
        <v>335</v>
      </c>
      <c r="E25" s="37"/>
      <c r="F25" s="37" t="s">
        <v>335</v>
      </c>
      <c r="G25" s="47"/>
      <c r="H25" s="35"/>
      <c r="I25" s="30"/>
      <c r="J25" s="37" t="s">
        <v>335</v>
      </c>
      <c r="K25" s="37"/>
      <c r="L25" s="37" t="s">
        <v>335</v>
      </c>
      <c r="M25" s="30"/>
      <c r="N25" s="35"/>
      <c r="O25" s="30"/>
      <c r="P25" s="37" t="s">
        <v>335</v>
      </c>
      <c r="Q25" s="37"/>
      <c r="R25" s="37" t="s">
        <v>335</v>
      </c>
      <c r="S25" s="30"/>
      <c r="T25" s="35"/>
      <c r="U25" s="30"/>
      <c r="V25" s="37" t="s">
        <v>335</v>
      </c>
      <c r="W25" s="37"/>
      <c r="X25" s="37" t="s">
        <v>335</v>
      </c>
      <c r="Y25" s="30"/>
      <c r="Z25" s="35"/>
      <c r="AA25" s="30"/>
      <c r="AB25" s="37" t="s">
        <v>335</v>
      </c>
      <c r="AC25" s="37"/>
      <c r="AD25" s="37" t="s">
        <v>335</v>
      </c>
      <c r="AE25" s="48"/>
    </row>
    <row r="26" spans="1:31" ht="12.75" customHeight="1">
      <c r="A26" s="279"/>
      <c r="B26" s="241">
        <f>'洪水1-3'!B8</f>
        <v>0</v>
      </c>
      <c r="C26" s="13" t="str">
        <f>'洪水1-3'!C8</f>
        <v>≦</v>
      </c>
      <c r="D26" s="13">
        <f>'洪水1-3'!D8</f>
        <v>6</v>
      </c>
      <c r="E26" s="13" t="str">
        <f>'洪水1-3'!E8</f>
        <v>≦</v>
      </c>
      <c r="F26" s="13">
        <f>'洪水1-3'!F8</f>
        <v>9.05</v>
      </c>
      <c r="G26" s="243" t="str">
        <f>'洪水1-3'!G8</f>
        <v>OK</v>
      </c>
      <c r="H26" s="241">
        <f>'土石流時2-3'!B8</f>
        <v>0</v>
      </c>
      <c r="I26" s="244" t="str">
        <f>'土石流時2-3'!C8</f>
        <v>≦</v>
      </c>
      <c r="J26" s="13">
        <f>'土石流時1-3'!D8</f>
        <v>5.81</v>
      </c>
      <c r="K26" s="244" t="str">
        <f>'土石流時2-3'!E8</f>
        <v>≦</v>
      </c>
      <c r="L26" s="13">
        <f>'土石流時2-3'!F8</f>
        <v>9.05</v>
      </c>
      <c r="M26" s="244" t="str">
        <f>'土石流時2-3'!G8</f>
        <v>OK</v>
      </c>
      <c r="N26" s="241">
        <f>'土石流時2-3'!B8</f>
        <v>0</v>
      </c>
      <c r="O26" s="244" t="str">
        <f>'土石流時2-3'!C8</f>
        <v>≦</v>
      </c>
      <c r="P26" s="13">
        <f>'土石流時2-3'!D8</f>
        <v>5.99</v>
      </c>
      <c r="Q26" s="244" t="str">
        <f>'土石流時2-3'!E8</f>
        <v>≦</v>
      </c>
      <c r="R26" s="13">
        <f>'土石流時2-3'!F8</f>
        <v>9.05</v>
      </c>
      <c r="S26" s="244" t="str">
        <f>'土石流時2-3'!G8</f>
        <v>OK</v>
      </c>
      <c r="T26" s="241">
        <f>'土石流時3-3'!B8</f>
        <v>0</v>
      </c>
      <c r="U26" s="244" t="str">
        <f>'土石流時3-3'!C8</f>
        <v>≦</v>
      </c>
      <c r="V26" s="13">
        <f>'土石流時3-3'!D8</f>
        <v>5.85</v>
      </c>
      <c r="W26" s="244" t="str">
        <f>'土石流時3-3'!E8</f>
        <v>≦</v>
      </c>
      <c r="X26" s="13">
        <f>'土石流時3-3'!F8</f>
        <v>8.5</v>
      </c>
      <c r="Y26" s="244" t="str">
        <f>'土石流時3-3'!G8</f>
        <v>OK</v>
      </c>
      <c r="Z26" s="241">
        <f>'土石流時4-3'!B8</f>
        <v>0</v>
      </c>
      <c r="AA26" s="244" t="str">
        <f>'土石流時4-3'!C8</f>
        <v>≦</v>
      </c>
      <c r="AB26" s="13">
        <f>'土石流時4-3'!D8</f>
        <v>5.97</v>
      </c>
      <c r="AC26" s="244" t="str">
        <f>'土石流時4-3'!E8</f>
        <v>≦</v>
      </c>
      <c r="AD26" s="13">
        <f>'土石流時4-3'!F8</f>
        <v>9.05</v>
      </c>
      <c r="AE26" s="245" t="str">
        <f>'土石流時4-3'!G8</f>
        <v>OK</v>
      </c>
    </row>
    <row r="27" spans="1:31" ht="7.5" customHeight="1">
      <c r="A27" s="280"/>
      <c r="B27" s="53"/>
      <c r="C27" s="52"/>
      <c r="D27" s="52"/>
      <c r="E27" s="52"/>
      <c r="F27" s="52"/>
      <c r="G27" s="54"/>
      <c r="H27" s="53"/>
      <c r="I27" s="52"/>
      <c r="J27" s="52"/>
      <c r="K27" s="52"/>
      <c r="L27" s="52"/>
      <c r="M27" s="52"/>
      <c r="N27" s="53"/>
      <c r="O27" s="52"/>
      <c r="P27" s="52"/>
      <c r="Q27" s="52"/>
      <c r="R27" s="52"/>
      <c r="S27" s="52"/>
      <c r="T27" s="53"/>
      <c r="U27" s="52"/>
      <c r="V27" s="52"/>
      <c r="W27" s="52"/>
      <c r="X27" s="52"/>
      <c r="Y27" s="52"/>
      <c r="Z27" s="53"/>
      <c r="AA27" s="52"/>
      <c r="AB27" s="52"/>
      <c r="AC27" s="52"/>
      <c r="AD27" s="52"/>
      <c r="AE27" s="55"/>
    </row>
    <row r="28" spans="1:31" s="246" customFormat="1" ht="8.25" customHeight="1">
      <c r="A28" s="281" t="s">
        <v>1</v>
      </c>
      <c r="B28" s="43"/>
      <c r="C28" s="42"/>
      <c r="D28" s="42"/>
      <c r="E28" s="42"/>
      <c r="F28" s="42"/>
      <c r="G28" s="44"/>
      <c r="H28" s="43"/>
      <c r="I28" s="42"/>
      <c r="J28" s="42"/>
      <c r="K28" s="42"/>
      <c r="L28" s="42"/>
      <c r="M28" s="42"/>
      <c r="N28" s="43"/>
      <c r="O28" s="42"/>
      <c r="P28" s="42"/>
      <c r="Q28" s="42"/>
      <c r="R28" s="42"/>
      <c r="S28" s="42"/>
      <c r="T28" s="43"/>
      <c r="U28" s="42"/>
      <c r="V28" s="42"/>
      <c r="W28" s="42"/>
      <c r="X28" s="42"/>
      <c r="Y28" s="42"/>
      <c r="Z28" s="43"/>
      <c r="AA28" s="42"/>
      <c r="AB28" s="42"/>
      <c r="AC28" s="42"/>
      <c r="AD28" s="42"/>
      <c r="AE28" s="45"/>
    </row>
    <row r="29" spans="1:31" s="246" customFormat="1" ht="12.75" customHeight="1">
      <c r="A29" s="279"/>
      <c r="B29" s="264" t="s">
        <v>323</v>
      </c>
      <c r="C29" s="265" t="s">
        <v>188</v>
      </c>
      <c r="D29" s="266" t="s">
        <v>324</v>
      </c>
      <c r="E29" s="266"/>
      <c r="F29" s="266"/>
      <c r="G29" s="47"/>
      <c r="H29" s="264" t="s">
        <v>323</v>
      </c>
      <c r="I29" s="265" t="s">
        <v>188</v>
      </c>
      <c r="J29" s="266" t="s">
        <v>324</v>
      </c>
      <c r="K29" s="266"/>
      <c r="L29" s="266"/>
      <c r="M29" s="30"/>
      <c r="N29" s="264" t="s">
        <v>323</v>
      </c>
      <c r="O29" s="265" t="s">
        <v>6</v>
      </c>
      <c r="P29" s="266" t="s">
        <v>324</v>
      </c>
      <c r="Q29" s="266"/>
      <c r="R29" s="266"/>
      <c r="S29" s="30"/>
      <c r="T29" s="264" t="s">
        <v>323</v>
      </c>
      <c r="U29" s="265" t="s">
        <v>6</v>
      </c>
      <c r="V29" s="266" t="s">
        <v>324</v>
      </c>
      <c r="W29" s="266"/>
      <c r="X29" s="266"/>
      <c r="Y29" s="30"/>
      <c r="Z29" s="264" t="s">
        <v>323</v>
      </c>
      <c r="AA29" s="265" t="s">
        <v>6</v>
      </c>
      <c r="AB29" s="266" t="s">
        <v>324</v>
      </c>
      <c r="AC29" s="266"/>
      <c r="AD29" s="266"/>
      <c r="AE29" s="48"/>
    </row>
    <row r="30" spans="1:31" s="246" customFormat="1" ht="12.75" customHeight="1">
      <c r="A30" s="279"/>
      <c r="B30" s="264"/>
      <c r="C30" s="265"/>
      <c r="D30" s="265" t="s">
        <v>325</v>
      </c>
      <c r="E30" s="265"/>
      <c r="F30" s="265"/>
      <c r="G30" s="47"/>
      <c r="H30" s="264"/>
      <c r="I30" s="265"/>
      <c r="J30" s="265" t="s">
        <v>325</v>
      </c>
      <c r="K30" s="265"/>
      <c r="L30" s="265"/>
      <c r="M30" s="30"/>
      <c r="N30" s="264"/>
      <c r="O30" s="265"/>
      <c r="P30" s="265" t="s">
        <v>154</v>
      </c>
      <c r="Q30" s="265"/>
      <c r="R30" s="265"/>
      <c r="S30" s="30"/>
      <c r="T30" s="264"/>
      <c r="U30" s="265"/>
      <c r="V30" s="265" t="s">
        <v>154</v>
      </c>
      <c r="W30" s="265"/>
      <c r="X30" s="265"/>
      <c r="Y30" s="30"/>
      <c r="Z30" s="264"/>
      <c r="AA30" s="265"/>
      <c r="AB30" s="265" t="s">
        <v>154</v>
      </c>
      <c r="AC30" s="265"/>
      <c r="AD30" s="265"/>
      <c r="AE30" s="48"/>
    </row>
    <row r="31" spans="1:31" s="246" customFormat="1" ht="8.25" customHeight="1">
      <c r="A31" s="279"/>
      <c r="B31" s="35"/>
      <c r="C31" s="30"/>
      <c r="D31" s="30"/>
      <c r="E31" s="30"/>
      <c r="F31" s="30"/>
      <c r="G31" s="47"/>
      <c r="H31" s="35"/>
      <c r="I31" s="30"/>
      <c r="J31" s="30"/>
      <c r="K31" s="30"/>
      <c r="L31" s="30"/>
      <c r="M31" s="30"/>
      <c r="N31" s="35"/>
      <c r="O31" s="30"/>
      <c r="P31" s="30"/>
      <c r="Q31" s="30"/>
      <c r="R31" s="30"/>
      <c r="S31" s="30"/>
      <c r="T31" s="35"/>
      <c r="U31" s="30"/>
      <c r="V31" s="30"/>
      <c r="W31" s="30"/>
      <c r="X31" s="30"/>
      <c r="Y31" s="30"/>
      <c r="Z31" s="35"/>
      <c r="AA31" s="30"/>
      <c r="AB31" s="30"/>
      <c r="AC31" s="30"/>
      <c r="AD31" s="30"/>
      <c r="AE31" s="48"/>
    </row>
    <row r="32" spans="1:31" s="246" customFormat="1" ht="12.75" customHeight="1">
      <c r="A32" s="279"/>
      <c r="B32" s="35"/>
      <c r="C32" s="12" t="s">
        <v>188</v>
      </c>
      <c r="D32" s="13">
        <f>'洪水1-3'!D23</f>
        <v>5.45</v>
      </c>
      <c r="E32" s="12" t="str">
        <f>'洪水1-3'!E23</f>
        <v>≧</v>
      </c>
      <c r="F32" s="50">
        <f>'洪水1-3'!F23</f>
        <v>4</v>
      </c>
      <c r="G32" s="51" t="str">
        <f>'洪水1-3'!H23</f>
        <v>OK</v>
      </c>
      <c r="H32" s="35"/>
      <c r="I32" s="12" t="s">
        <v>188</v>
      </c>
      <c r="J32" s="13">
        <f>'土石流時1-3'!D23</f>
        <v>4.93</v>
      </c>
      <c r="K32" s="12" t="str">
        <f>'土石流時1-3'!E23</f>
        <v>≧</v>
      </c>
      <c r="L32" s="50">
        <f>'土石流時1-3'!F23</f>
        <v>4</v>
      </c>
      <c r="M32" s="12" t="str">
        <f>'土石流時1-3'!H23</f>
        <v>OK</v>
      </c>
      <c r="N32" s="35"/>
      <c r="O32" s="12" t="s">
        <v>6</v>
      </c>
      <c r="P32" s="13">
        <f>'土石流時2-3'!D23</f>
        <v>4.51</v>
      </c>
      <c r="Q32" s="12" t="str">
        <f>'土石流時2-3'!E23</f>
        <v>≧</v>
      </c>
      <c r="R32" s="50">
        <f>'土石流時2-3'!F23</f>
        <v>4</v>
      </c>
      <c r="S32" s="12" t="str">
        <f>'土石流時2-3'!H23</f>
        <v>OK</v>
      </c>
      <c r="T32" s="35"/>
      <c r="U32" s="12" t="s">
        <v>6</v>
      </c>
      <c r="V32" s="13">
        <f>'土石流時3-3'!D23</f>
        <v>4.22</v>
      </c>
      <c r="W32" s="12" t="str">
        <f>'土石流時3-3'!E23</f>
        <v>≧</v>
      </c>
      <c r="X32" s="50">
        <f>'土石流時3-3'!F23</f>
        <v>4</v>
      </c>
      <c r="Y32" s="12" t="str">
        <f>'土石流時3-3'!H23</f>
        <v>OK</v>
      </c>
      <c r="Z32" s="35"/>
      <c r="AA32" s="12" t="s">
        <v>6</v>
      </c>
      <c r="AB32" s="13">
        <f>'土石流時4-3'!D23</f>
        <v>4.55</v>
      </c>
      <c r="AC32" s="12" t="str">
        <f>'土石流時4-3'!E23</f>
        <v>≧</v>
      </c>
      <c r="AD32" s="50">
        <f>'土石流時4-3'!F23</f>
        <v>4</v>
      </c>
      <c r="AE32" s="33" t="str">
        <f>'土石流時4-3'!H23</f>
        <v>OK</v>
      </c>
    </row>
    <row r="33" spans="1:31" s="246" customFormat="1" ht="8.25" customHeight="1">
      <c r="A33" s="280"/>
      <c r="B33" s="53"/>
      <c r="C33" s="52"/>
      <c r="D33" s="52"/>
      <c r="E33" s="52"/>
      <c r="F33" s="52"/>
      <c r="G33" s="54"/>
      <c r="H33" s="53"/>
      <c r="I33" s="52"/>
      <c r="J33" s="52"/>
      <c r="K33" s="52"/>
      <c r="L33" s="52"/>
      <c r="M33" s="52"/>
      <c r="N33" s="53"/>
      <c r="O33" s="52"/>
      <c r="P33" s="52"/>
      <c r="Q33" s="52"/>
      <c r="R33" s="52"/>
      <c r="S33" s="52"/>
      <c r="T33" s="53"/>
      <c r="U33" s="52"/>
      <c r="V33" s="52"/>
      <c r="W33" s="52"/>
      <c r="X33" s="52"/>
      <c r="Y33" s="52"/>
      <c r="Z33" s="53"/>
      <c r="AA33" s="52"/>
      <c r="AB33" s="52"/>
      <c r="AC33" s="52"/>
      <c r="AD33" s="52"/>
      <c r="AE33" s="55"/>
    </row>
    <row r="34" spans="1:31" ht="16.5" customHeight="1">
      <c r="A34" s="281" t="s">
        <v>3</v>
      </c>
      <c r="B34" s="43" t="s">
        <v>190</v>
      </c>
      <c r="C34" s="42"/>
      <c r="D34" s="42"/>
      <c r="E34" s="42"/>
      <c r="F34" s="42"/>
      <c r="G34" s="282" t="s">
        <v>326</v>
      </c>
      <c r="H34" s="43" t="s">
        <v>190</v>
      </c>
      <c r="I34" s="42"/>
      <c r="J34" s="42"/>
      <c r="K34" s="42"/>
      <c r="L34" s="42"/>
      <c r="M34" s="268" t="s">
        <v>326</v>
      </c>
      <c r="N34" s="43" t="s">
        <v>190</v>
      </c>
      <c r="O34" s="42"/>
      <c r="P34" s="42"/>
      <c r="Q34" s="42"/>
      <c r="R34" s="42"/>
      <c r="S34" s="268" t="s">
        <v>326</v>
      </c>
      <c r="T34" s="43" t="s">
        <v>190</v>
      </c>
      <c r="U34" s="42"/>
      <c r="V34" s="42"/>
      <c r="W34" s="42"/>
      <c r="X34" s="42"/>
      <c r="Y34" s="268" t="s">
        <v>326</v>
      </c>
      <c r="Z34" s="43" t="s">
        <v>190</v>
      </c>
      <c r="AA34" s="42"/>
      <c r="AB34" s="42"/>
      <c r="AC34" s="42"/>
      <c r="AD34" s="42"/>
      <c r="AE34" s="267" t="s">
        <v>326</v>
      </c>
    </row>
    <row r="35" spans="1:31" ht="16.5" customHeight="1">
      <c r="A35" s="279"/>
      <c r="B35" s="28" t="s">
        <v>327</v>
      </c>
      <c r="C35" s="27" t="s">
        <v>188</v>
      </c>
      <c r="D35" s="57">
        <f>'洪水1-3'!D58</f>
        <v>390.71</v>
      </c>
      <c r="E35" s="27" t="str">
        <f>'洪水1-3'!E58</f>
        <v>≦</v>
      </c>
      <c r="F35" s="49">
        <f>'洪水1-3'!G58</f>
        <v>1177</v>
      </c>
      <c r="G35" s="283"/>
      <c r="H35" s="28" t="s">
        <v>327</v>
      </c>
      <c r="I35" s="27" t="s">
        <v>188</v>
      </c>
      <c r="J35" s="57">
        <f>'土石流時1-3'!D58</f>
        <v>392.99</v>
      </c>
      <c r="K35" s="57" t="str">
        <f>'土石流時1-3'!E58</f>
        <v>≦</v>
      </c>
      <c r="L35" s="49">
        <f>'土石流時1-3'!G58</f>
        <v>1177</v>
      </c>
      <c r="M35" s="269"/>
      <c r="N35" s="28" t="s">
        <v>327</v>
      </c>
      <c r="O35" s="27" t="s">
        <v>6</v>
      </c>
      <c r="P35" s="57">
        <f>'土石流時2-3'!D68</f>
        <v>437.2</v>
      </c>
      <c r="Q35" s="57" t="str">
        <f>'土石流時2-3'!E68</f>
        <v>≦</v>
      </c>
      <c r="R35" s="49">
        <f>'土石流時2-3'!G68</f>
        <v>1177</v>
      </c>
      <c r="S35" s="269"/>
      <c r="T35" s="28" t="s">
        <v>327</v>
      </c>
      <c r="U35" s="27" t="s">
        <v>6</v>
      </c>
      <c r="V35" s="57">
        <f>'土石流時3-3'!D68</f>
        <v>468.14</v>
      </c>
      <c r="W35" s="57" t="str">
        <f>'土石流時3-3'!E68</f>
        <v>≦</v>
      </c>
      <c r="X35" s="49">
        <f>'土石流時3-3'!G68</f>
        <v>1177</v>
      </c>
      <c r="Y35" s="269"/>
      <c r="Z35" s="28" t="s">
        <v>327</v>
      </c>
      <c r="AA35" s="27" t="s">
        <v>6</v>
      </c>
      <c r="AB35" s="57">
        <f>'土石流時4-3'!D68</f>
        <v>447.47</v>
      </c>
      <c r="AC35" s="57" t="str">
        <f>'土石流時4-3'!E68</f>
        <v>≦</v>
      </c>
      <c r="AD35" s="49">
        <f>'土石流時4-3'!G68</f>
        <v>1177</v>
      </c>
      <c r="AE35" s="255"/>
    </row>
    <row r="36" spans="1:31" ht="16.5" customHeight="1">
      <c r="A36" s="279"/>
      <c r="B36" s="35" t="s">
        <v>192</v>
      </c>
      <c r="C36" s="30"/>
      <c r="D36" s="30"/>
      <c r="E36" s="30"/>
      <c r="F36" s="247" t="str">
        <f>'洪水1-3'!I58</f>
        <v>OK</v>
      </c>
      <c r="G36" s="283" t="s">
        <v>326</v>
      </c>
      <c r="H36" s="35" t="s">
        <v>192</v>
      </c>
      <c r="I36" s="30"/>
      <c r="J36" s="30"/>
      <c r="K36" s="30"/>
      <c r="L36" s="247" t="str">
        <f>'土石流時1-3'!I58</f>
        <v>OK</v>
      </c>
      <c r="M36" s="269" t="s">
        <v>326</v>
      </c>
      <c r="N36" s="35" t="s">
        <v>192</v>
      </c>
      <c r="O36" s="30"/>
      <c r="P36" s="30"/>
      <c r="Q36" s="30"/>
      <c r="R36" s="247" t="str">
        <f>'土石流時2-3'!I68</f>
        <v>OK</v>
      </c>
      <c r="S36" s="269" t="s">
        <v>326</v>
      </c>
      <c r="T36" s="35" t="s">
        <v>192</v>
      </c>
      <c r="U36" s="30"/>
      <c r="V36" s="30"/>
      <c r="W36" s="30"/>
      <c r="X36" s="247" t="str">
        <f>'土石流時3-3'!I68</f>
        <v>OK</v>
      </c>
      <c r="Y36" s="269" t="s">
        <v>326</v>
      </c>
      <c r="Z36" s="35" t="s">
        <v>192</v>
      </c>
      <c r="AA36" s="30"/>
      <c r="AB36" s="30"/>
      <c r="AC36" s="30"/>
      <c r="AD36" s="247" t="str">
        <f>'土石流時4-3'!I68</f>
        <v>OK</v>
      </c>
      <c r="AE36" s="255" t="s">
        <v>326</v>
      </c>
    </row>
    <row r="37" spans="1:31" ht="16.5" customHeight="1">
      <c r="A37" s="279"/>
      <c r="B37" s="28" t="s">
        <v>327</v>
      </c>
      <c r="C37" s="27" t="s">
        <v>188</v>
      </c>
      <c r="D37" s="57">
        <f>'洪水1-3'!D60</f>
        <v>390.71</v>
      </c>
      <c r="E37" s="57" t="str">
        <f>'洪水1-3'!E60</f>
        <v>≦</v>
      </c>
      <c r="F37" s="49">
        <f>'洪水1-3'!G60</f>
        <v>4500</v>
      </c>
      <c r="G37" s="283"/>
      <c r="H37" s="28" t="s">
        <v>327</v>
      </c>
      <c r="I37" s="27" t="s">
        <v>188</v>
      </c>
      <c r="J37" s="57">
        <f>'土石流時1-3'!D60</f>
        <v>392.99</v>
      </c>
      <c r="K37" s="57" t="str">
        <f>'土石流時1-3'!E60</f>
        <v>≦</v>
      </c>
      <c r="L37" s="49">
        <f>'土石流時1-3'!G60</f>
        <v>4500</v>
      </c>
      <c r="M37" s="269"/>
      <c r="N37" s="28" t="s">
        <v>327</v>
      </c>
      <c r="O37" s="27" t="s">
        <v>6</v>
      </c>
      <c r="P37" s="57">
        <f>'土石流時2-3'!D70</f>
        <v>437.2</v>
      </c>
      <c r="Q37" s="57" t="str">
        <f>'土石流時2-3'!E70</f>
        <v>≦</v>
      </c>
      <c r="R37" s="49">
        <f>'土石流時2-3'!G70</f>
        <v>4500</v>
      </c>
      <c r="S37" s="269"/>
      <c r="T37" s="28" t="s">
        <v>327</v>
      </c>
      <c r="U37" s="27" t="s">
        <v>6</v>
      </c>
      <c r="V37" s="57">
        <f>'土石流時3-3'!D70</f>
        <v>468.14</v>
      </c>
      <c r="W37" s="57" t="str">
        <f>'土石流時3-3'!E70</f>
        <v>≦</v>
      </c>
      <c r="X37" s="49">
        <f>'土石流時3-3'!G70</f>
        <v>4500</v>
      </c>
      <c r="Y37" s="269"/>
      <c r="Z37" s="28" t="s">
        <v>327</v>
      </c>
      <c r="AA37" s="27" t="s">
        <v>6</v>
      </c>
      <c r="AB37" s="57">
        <f>'土石流時4-3'!D70</f>
        <v>447.47</v>
      </c>
      <c r="AC37" s="57" t="str">
        <f>'土石流時4-3'!E70</f>
        <v>≦</v>
      </c>
      <c r="AD37" s="49">
        <f>'土石流時4-3'!G70</f>
        <v>4500</v>
      </c>
      <c r="AE37" s="255"/>
    </row>
    <row r="38" spans="1:31" ht="16.5" customHeight="1">
      <c r="A38" s="279"/>
      <c r="B38" s="35" t="s">
        <v>192</v>
      </c>
      <c r="C38" s="30"/>
      <c r="D38" s="30"/>
      <c r="E38" s="30"/>
      <c r="F38" s="247" t="str">
        <f>'洪水1-3'!I60</f>
        <v>OK</v>
      </c>
      <c r="G38" s="283" t="s">
        <v>326</v>
      </c>
      <c r="H38" s="35" t="s">
        <v>192</v>
      </c>
      <c r="I38" s="30"/>
      <c r="J38" s="30"/>
      <c r="K38" s="30"/>
      <c r="L38" s="247" t="str">
        <f>'土石流時1-3'!I60</f>
        <v>OK</v>
      </c>
      <c r="M38" s="269" t="s">
        <v>326</v>
      </c>
      <c r="N38" s="35" t="s">
        <v>192</v>
      </c>
      <c r="O38" s="30"/>
      <c r="P38" s="30"/>
      <c r="Q38" s="30"/>
      <c r="R38" s="247" t="str">
        <f>'土石流時2-3'!I70</f>
        <v>OK</v>
      </c>
      <c r="S38" s="269" t="s">
        <v>326</v>
      </c>
      <c r="T38" s="35" t="s">
        <v>192</v>
      </c>
      <c r="U38" s="30"/>
      <c r="V38" s="30"/>
      <c r="W38" s="30"/>
      <c r="X38" s="247" t="str">
        <f>'土石流時3-3'!I70</f>
        <v>OK</v>
      </c>
      <c r="Y38" s="269" t="s">
        <v>326</v>
      </c>
      <c r="Z38" s="35" t="s">
        <v>192</v>
      </c>
      <c r="AA38" s="30"/>
      <c r="AB38" s="30"/>
      <c r="AC38" s="30"/>
      <c r="AD38" s="247" t="str">
        <f>'土石流時4-3'!I70</f>
        <v>OK</v>
      </c>
      <c r="AE38" s="255" t="s">
        <v>326</v>
      </c>
    </row>
    <row r="39" spans="1:31" ht="16.5" customHeight="1">
      <c r="A39" s="279"/>
      <c r="B39" s="28" t="s">
        <v>328</v>
      </c>
      <c r="C39" s="27" t="s">
        <v>188</v>
      </c>
      <c r="D39" s="57">
        <f>'洪水1-3'!D62</f>
        <v>3.7</v>
      </c>
      <c r="E39" s="57" t="str">
        <f>'洪水1-3'!E62</f>
        <v>≧</v>
      </c>
      <c r="F39" s="49">
        <f>'洪水1-3'!F62</f>
        <v>0</v>
      </c>
      <c r="G39" s="283"/>
      <c r="H39" s="28" t="s">
        <v>328</v>
      </c>
      <c r="I39" s="27" t="s">
        <v>188</v>
      </c>
      <c r="J39" s="57">
        <f>'土石流時1-3'!D62</f>
        <v>30.66</v>
      </c>
      <c r="K39" s="57" t="str">
        <f>'土石流時1-3'!E62</f>
        <v>≧</v>
      </c>
      <c r="L39" s="49" t="str">
        <f>'土石流時1-3'!H62</f>
        <v>kN/m2</v>
      </c>
      <c r="M39" s="269"/>
      <c r="N39" s="28" t="s">
        <v>328</v>
      </c>
      <c r="O39" s="27" t="s">
        <v>6</v>
      </c>
      <c r="P39" s="57">
        <f>'土石流時2-3'!D72</f>
        <v>5.63</v>
      </c>
      <c r="Q39" s="57" t="str">
        <f>'土石流時2-3'!E72</f>
        <v>≧</v>
      </c>
      <c r="R39" s="49">
        <f>'土石流時2-3'!G72</f>
        <v>0</v>
      </c>
      <c r="S39" s="269"/>
      <c r="T39" s="28" t="s">
        <v>328</v>
      </c>
      <c r="U39" s="27" t="s">
        <v>6</v>
      </c>
      <c r="V39" s="57">
        <f>'土石流時3-3'!D72</f>
        <v>-28.45</v>
      </c>
      <c r="W39" s="57" t="str">
        <f>'土石流時3-3'!E72</f>
        <v>＜</v>
      </c>
      <c r="X39" s="49">
        <f>'土石流時3-3'!G72</f>
        <v>0</v>
      </c>
      <c r="Y39" s="269"/>
      <c r="Z39" s="28" t="s">
        <v>328</v>
      </c>
      <c r="AA39" s="27" t="s">
        <v>6</v>
      </c>
      <c r="AB39" s="57">
        <f>'土石流時4-3'!D72</f>
        <v>8.82</v>
      </c>
      <c r="AC39" s="57" t="str">
        <f>'土石流時4-3'!E72</f>
        <v>≧</v>
      </c>
      <c r="AD39" s="49">
        <f>'土石流時4-3'!G72</f>
        <v>0</v>
      </c>
      <c r="AE39" s="255"/>
    </row>
    <row r="40" spans="1:31" ht="16.5" customHeight="1">
      <c r="A40" s="280"/>
      <c r="B40" s="53"/>
      <c r="C40" s="52"/>
      <c r="D40" s="52"/>
      <c r="E40" s="52"/>
      <c r="F40" s="248" t="str">
        <f>'洪水1-3'!I62</f>
        <v>OK</v>
      </c>
      <c r="G40" s="58"/>
      <c r="H40" s="53"/>
      <c r="I40" s="52"/>
      <c r="J40" s="52"/>
      <c r="K40" s="52"/>
      <c r="L40" s="248" t="str">
        <f>'土石流時1-3'!I62</f>
        <v>OK</v>
      </c>
      <c r="M40" s="40"/>
      <c r="N40" s="53"/>
      <c r="O40" s="52"/>
      <c r="P40" s="52"/>
      <c r="Q40" s="52"/>
      <c r="R40" s="248" t="str">
        <f>'土石流時2-3'!I72</f>
        <v>OK</v>
      </c>
      <c r="S40" s="40"/>
      <c r="T40" s="53"/>
      <c r="U40" s="52"/>
      <c r="V40" s="52"/>
      <c r="W40" s="52"/>
      <c r="X40" s="254" t="str">
        <f>'土石流時3-3'!I72</f>
        <v>OUT</v>
      </c>
      <c r="Y40" s="40"/>
      <c r="Z40" s="53"/>
      <c r="AA40" s="52"/>
      <c r="AB40" s="52"/>
      <c r="AC40" s="52"/>
      <c r="AD40" s="248" t="str">
        <f>'土石流時4-3'!I72</f>
        <v>OK</v>
      </c>
      <c r="AE40" s="41"/>
    </row>
    <row r="41" spans="1:31" ht="16.5" customHeight="1" thickBot="1">
      <c r="A41" s="38" t="s">
        <v>4</v>
      </c>
      <c r="B41" s="256" t="str">
        <f>IF(AND(G32="OK",G26="OK",F36="OK",F38="OK",F40="OK"),"OK","OUT")</f>
        <v>OK</v>
      </c>
      <c r="C41" s="257"/>
      <c r="D41" s="257"/>
      <c r="E41" s="257"/>
      <c r="F41" s="257"/>
      <c r="G41" s="277"/>
      <c r="H41" s="256" t="str">
        <f>IF(AND(M32="OK",M26="OK",L36="OK",L38="OK",L40="OK"),"OK","OUT")</f>
        <v>OK</v>
      </c>
      <c r="I41" s="257"/>
      <c r="J41" s="257"/>
      <c r="K41" s="257"/>
      <c r="L41" s="257"/>
      <c r="M41" s="257"/>
      <c r="N41" s="256" t="str">
        <f>IF(AND(S32="OK",S26="OK",R36="OK",R38="OK",R40="OK"),"OK","OUT")</f>
        <v>OK</v>
      </c>
      <c r="O41" s="257"/>
      <c r="P41" s="257"/>
      <c r="Q41" s="257"/>
      <c r="R41" s="257"/>
      <c r="S41" s="257"/>
      <c r="T41" s="270" t="str">
        <f>IF(AND(Y32="OK",Y26="OK",X36="OK",X38="OK",X40="OK"),"OK","OUT")</f>
        <v>OUT</v>
      </c>
      <c r="U41" s="271"/>
      <c r="V41" s="271"/>
      <c r="W41" s="271"/>
      <c r="X41" s="271"/>
      <c r="Y41" s="271"/>
      <c r="Z41" s="256" t="str">
        <f>IF(AND(AE32="OK",AE26="OK",AD36="OK",AD38="OK",AD40="OK"),"OK","OUT")</f>
        <v>OK</v>
      </c>
      <c r="AA41" s="257"/>
      <c r="AB41" s="257"/>
      <c r="AC41" s="257"/>
      <c r="AD41" s="257"/>
      <c r="AE41" s="258"/>
    </row>
  </sheetData>
  <sheetProtection/>
  <mergeCells count="70">
    <mergeCell ref="B5:M5"/>
    <mergeCell ref="A23:A27"/>
    <mergeCell ref="A28:A33"/>
    <mergeCell ref="B29:B30"/>
    <mergeCell ref="C29:C30"/>
    <mergeCell ref="D29:F29"/>
    <mergeCell ref="H29:H30"/>
    <mergeCell ref="I29:I30"/>
    <mergeCell ref="J29:L29"/>
    <mergeCell ref="D30:F30"/>
    <mergeCell ref="B6:G6"/>
    <mergeCell ref="J30:L30"/>
    <mergeCell ref="A34:A40"/>
    <mergeCell ref="G34:G35"/>
    <mergeCell ref="M34:M35"/>
    <mergeCell ref="G36:G37"/>
    <mergeCell ref="M36:M37"/>
    <mergeCell ref="G38:G39"/>
    <mergeCell ref="M38:M39"/>
    <mergeCell ref="D13:D19"/>
    <mergeCell ref="F16:F19"/>
    <mergeCell ref="C21:E21"/>
    <mergeCell ref="B16:B19"/>
    <mergeCell ref="B41:G41"/>
    <mergeCell ref="A7:A22"/>
    <mergeCell ref="H41:M41"/>
    <mergeCell ref="H16:H19"/>
    <mergeCell ref="I21:K21"/>
    <mergeCell ref="L16:L19"/>
    <mergeCell ref="J13:J19"/>
    <mergeCell ref="O29:O30"/>
    <mergeCell ref="P29:R29"/>
    <mergeCell ref="P30:R30"/>
    <mergeCell ref="S34:S35"/>
    <mergeCell ref="S36:S37"/>
    <mergeCell ref="H6:M6"/>
    <mergeCell ref="P13:P19"/>
    <mergeCell ref="N16:N19"/>
    <mergeCell ref="R16:R19"/>
    <mergeCell ref="O21:Q21"/>
    <mergeCell ref="S38:S39"/>
    <mergeCell ref="N41:S41"/>
    <mergeCell ref="V13:V19"/>
    <mergeCell ref="T16:T19"/>
    <mergeCell ref="X16:X19"/>
    <mergeCell ref="U21:W21"/>
    <mergeCell ref="T29:T30"/>
    <mergeCell ref="U29:U30"/>
    <mergeCell ref="V29:X29"/>
    <mergeCell ref="N29:N30"/>
    <mergeCell ref="V30:X30"/>
    <mergeCell ref="Y34:Y35"/>
    <mergeCell ref="Y36:Y37"/>
    <mergeCell ref="Y38:Y39"/>
    <mergeCell ref="T41:Y41"/>
    <mergeCell ref="Z6:AE6"/>
    <mergeCell ref="AB13:AB19"/>
    <mergeCell ref="Z16:Z19"/>
    <mergeCell ref="AD16:AD19"/>
    <mergeCell ref="AA21:AC21"/>
    <mergeCell ref="AE38:AE39"/>
    <mergeCell ref="Z41:AE41"/>
    <mergeCell ref="N6:Y6"/>
    <mergeCell ref="N5:AE5"/>
    <mergeCell ref="Z29:Z30"/>
    <mergeCell ref="AA29:AA30"/>
    <mergeCell ref="AB29:AD29"/>
    <mergeCell ref="AB30:AD30"/>
    <mergeCell ref="AE34:AE35"/>
    <mergeCell ref="AE36:AE37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2">
      <selection activeCell="L19" sqref="L19"/>
    </sheetView>
  </sheetViews>
  <sheetFormatPr defaultColWidth="9.50390625" defaultRowHeight="13.5"/>
  <cols>
    <col min="1" max="1" width="9.50390625" style="14" customWidth="1"/>
    <col min="2" max="2" width="8.625" style="14" customWidth="1"/>
    <col min="3" max="3" width="4.125" style="14" customWidth="1"/>
    <col min="4" max="4" width="9.75390625" style="14" customWidth="1"/>
    <col min="5" max="5" width="4.125" style="14" customWidth="1"/>
    <col min="6" max="6" width="7.625" style="14" customWidth="1"/>
    <col min="7" max="7" width="6.00390625" style="14" customWidth="1"/>
    <col min="8" max="8" width="7.625" style="14" customWidth="1"/>
    <col min="9" max="9" width="4.125" style="14" customWidth="1"/>
    <col min="10" max="10" width="8.625" style="14" customWidth="1"/>
    <col min="11" max="11" width="6.00390625" style="14" customWidth="1"/>
    <col min="12" max="12" width="7.625" style="14" customWidth="1"/>
    <col min="13" max="13" width="4.125" style="14" customWidth="1"/>
    <col min="14" max="14" width="7.625" style="14" customWidth="1"/>
    <col min="15" max="15" width="4.125" style="14" customWidth="1"/>
    <col min="16" max="16" width="7.625" style="14" customWidth="1"/>
    <col min="17" max="17" width="4.125" style="14" customWidth="1"/>
    <col min="18" max="18" width="7.625" style="14" customWidth="1"/>
    <col min="19" max="19" width="4.125" style="14" customWidth="1"/>
    <col min="20" max="20" width="7.625" style="14" customWidth="1"/>
    <col min="21" max="21" width="4.125" style="14" customWidth="1"/>
    <col min="22" max="24" width="9.50390625" style="14" customWidth="1"/>
    <col min="25" max="25" width="5.875" style="14" customWidth="1"/>
    <col min="26" max="16384" width="9.50390625" style="14" customWidth="1"/>
  </cols>
  <sheetData>
    <row r="1" spans="1:18" ht="16.5" customHeight="1">
      <c r="A1" s="17" t="s">
        <v>273</v>
      </c>
      <c r="R1" s="21"/>
    </row>
    <row r="2" ht="16.5" customHeight="1">
      <c r="A2" s="12"/>
    </row>
    <row r="3" spans="1:19" ht="16.5" customHeight="1">
      <c r="A3" s="316" t="s">
        <v>274</v>
      </c>
      <c r="B3" s="181" t="s">
        <v>275</v>
      </c>
      <c r="C3" s="315" t="s">
        <v>10</v>
      </c>
      <c r="D3" s="183">
        <f>'土石流時2-2'!AB40</f>
        <v>12007.28</v>
      </c>
      <c r="E3" s="315" t="s">
        <v>10</v>
      </c>
      <c r="F3" s="315">
        <f>D3/D4</f>
        <v>5.99</v>
      </c>
      <c r="G3" s="314" t="s">
        <v>11</v>
      </c>
      <c r="H3" s="129"/>
      <c r="I3" s="129"/>
      <c r="J3" s="129"/>
      <c r="K3" s="129"/>
      <c r="S3" s="21"/>
    </row>
    <row r="4" spans="1:19" ht="16.5" customHeight="1">
      <c r="A4" s="316"/>
      <c r="B4" s="185" t="s">
        <v>276</v>
      </c>
      <c r="C4" s="315"/>
      <c r="D4" s="186">
        <f>'土石流時2-2'!M40</f>
        <v>2003.8</v>
      </c>
      <c r="E4" s="315"/>
      <c r="F4" s="315"/>
      <c r="G4" s="314"/>
      <c r="H4" s="129"/>
      <c r="I4" s="129"/>
      <c r="J4" s="129"/>
      <c r="K4" s="129"/>
      <c r="S4" s="21"/>
    </row>
    <row r="5" spans="1:26" ht="16.5" customHeight="1">
      <c r="A5" s="12"/>
      <c r="B5" s="129"/>
      <c r="C5" s="129"/>
      <c r="D5" s="129"/>
      <c r="E5" s="129"/>
      <c r="F5" s="129"/>
      <c r="G5" s="129"/>
      <c r="H5" s="129"/>
      <c r="I5" s="129"/>
      <c r="J5" s="129"/>
      <c r="K5" s="129"/>
      <c r="X5" s="21"/>
      <c r="Y5" s="20"/>
      <c r="Z5" s="20"/>
    </row>
    <row r="6" spans="1:25" ht="16.5" customHeight="1">
      <c r="A6" s="12"/>
      <c r="B6" s="184">
        <v>0</v>
      </c>
      <c r="C6" s="191" t="s">
        <v>122</v>
      </c>
      <c r="D6" s="201" t="s">
        <v>135</v>
      </c>
      <c r="E6" s="191" t="s">
        <v>122</v>
      </c>
      <c r="F6" s="190" t="s">
        <v>137</v>
      </c>
      <c r="G6" s="129"/>
      <c r="H6" s="129"/>
      <c r="I6" s="129"/>
      <c r="J6" s="129"/>
      <c r="K6" s="129"/>
      <c r="Y6" s="178"/>
    </row>
    <row r="7" spans="1:18" ht="16.5" customHeight="1">
      <c r="A7" s="12"/>
      <c r="B7" s="184"/>
      <c r="C7" s="191"/>
      <c r="D7" s="201"/>
      <c r="E7" s="191"/>
      <c r="F7" s="190"/>
      <c r="G7" s="129"/>
      <c r="H7" s="129"/>
      <c r="I7" s="182"/>
      <c r="J7" s="190"/>
      <c r="K7" s="182"/>
      <c r="L7" s="177"/>
      <c r="M7" s="174"/>
      <c r="O7" s="174"/>
      <c r="P7" s="175"/>
      <c r="Q7" s="73"/>
      <c r="R7" s="73"/>
    </row>
    <row r="8" spans="1:18" ht="16.5" customHeight="1">
      <c r="A8" s="12"/>
      <c r="B8" s="184">
        <v>0</v>
      </c>
      <c r="C8" s="191" t="str">
        <f>IF(B8&lt;=D8,"≦","＞")</f>
        <v>≦</v>
      </c>
      <c r="D8" s="182">
        <f>F3</f>
        <v>5.99</v>
      </c>
      <c r="E8" s="191" t="str">
        <f>IF(D8&lt;=F8,"≦","＞")</f>
        <v>≦</v>
      </c>
      <c r="F8" s="190">
        <f>'土石流時2-1'!F39</f>
        <v>9.05</v>
      </c>
      <c r="G8" s="184" t="str">
        <f>IF(AND(B8&lt;=D8,D8&lt;=F8),"OK","OUT")</f>
        <v>OK</v>
      </c>
      <c r="H8" s="184"/>
      <c r="I8" s="184"/>
      <c r="J8" s="129"/>
      <c r="K8" s="129"/>
      <c r="M8" s="174"/>
      <c r="O8" s="174"/>
      <c r="P8" s="175"/>
      <c r="Q8" s="73"/>
      <c r="R8" s="73"/>
    </row>
    <row r="9" spans="1:18" ht="16.5" customHeight="1">
      <c r="A9" s="12"/>
      <c r="C9" s="176"/>
      <c r="D9" s="176"/>
      <c r="E9" s="176"/>
      <c r="I9" s="174"/>
      <c r="J9" s="175"/>
      <c r="K9" s="174"/>
      <c r="L9" s="177"/>
      <c r="M9" s="174"/>
      <c r="O9" s="174"/>
      <c r="P9" s="175"/>
      <c r="Q9" s="73"/>
      <c r="R9" s="73"/>
    </row>
    <row r="10" spans="1:18" ht="16.5" customHeight="1">
      <c r="A10" s="12"/>
      <c r="C10" s="15" t="s">
        <v>277</v>
      </c>
      <c r="D10" s="17" t="s">
        <v>140</v>
      </c>
      <c r="O10" s="174"/>
      <c r="P10" s="175"/>
      <c r="Q10" s="73"/>
      <c r="R10" s="73"/>
    </row>
    <row r="11" spans="3:4" ht="16.5" customHeight="1">
      <c r="C11" s="15" t="s">
        <v>278</v>
      </c>
      <c r="D11" s="17" t="s">
        <v>79</v>
      </c>
    </row>
    <row r="12" spans="1:18" ht="16.5" customHeight="1">
      <c r="A12" s="12"/>
      <c r="C12" s="15" t="s">
        <v>279</v>
      </c>
      <c r="D12" s="17" t="s">
        <v>143</v>
      </c>
      <c r="O12" s="174"/>
      <c r="P12" s="175"/>
      <c r="Q12" s="73"/>
      <c r="R12" s="73"/>
    </row>
    <row r="13" spans="3:18" ht="16.5" customHeight="1">
      <c r="C13" s="15" t="s">
        <v>280</v>
      </c>
      <c r="D13" s="17" t="s">
        <v>145</v>
      </c>
      <c r="O13" s="174"/>
      <c r="P13" s="175"/>
      <c r="Q13" s="73"/>
      <c r="R13" s="73"/>
    </row>
    <row r="14" ht="16.5" customHeight="1">
      <c r="A14" s="12"/>
    </row>
    <row r="15" ht="16.5" customHeight="1">
      <c r="A15" s="179" t="s">
        <v>281</v>
      </c>
    </row>
    <row r="16" ht="16.5" customHeight="1">
      <c r="A16" s="12"/>
    </row>
    <row r="17" spans="2:10" ht="16.5" customHeight="1">
      <c r="B17" s="316" t="s">
        <v>316</v>
      </c>
      <c r="C17" s="317" t="s">
        <v>282</v>
      </c>
      <c r="D17" s="187" t="s">
        <v>283</v>
      </c>
      <c r="E17" s="187" t="s">
        <v>284</v>
      </c>
      <c r="F17" s="187" t="s">
        <v>285</v>
      </c>
      <c r="G17" s="187" t="s">
        <v>286</v>
      </c>
      <c r="H17" s="187" t="s">
        <v>287</v>
      </c>
      <c r="I17" s="187" t="s">
        <v>284</v>
      </c>
      <c r="J17" s="187" t="s">
        <v>288</v>
      </c>
    </row>
    <row r="18" spans="2:20" ht="16.5" customHeight="1">
      <c r="B18" s="316"/>
      <c r="C18" s="317"/>
      <c r="D18" s="318" t="s">
        <v>289</v>
      </c>
      <c r="E18" s="318"/>
      <c r="F18" s="318"/>
      <c r="G18" s="318"/>
      <c r="H18" s="318"/>
      <c r="I18" s="318"/>
      <c r="J18" s="318"/>
      <c r="S18" s="15"/>
      <c r="T18" s="21"/>
    </row>
    <row r="19" spans="1:10" ht="16.5" customHeight="1">
      <c r="A19" s="173"/>
      <c r="B19" s="20"/>
      <c r="C19" s="20"/>
      <c r="D19" s="192"/>
      <c r="E19" s="129"/>
      <c r="F19" s="129"/>
      <c r="G19" s="129"/>
      <c r="H19" s="129"/>
      <c r="I19" s="129"/>
      <c r="J19" s="129"/>
    </row>
    <row r="20" spans="1:10" ht="16.5" customHeight="1">
      <c r="A20" s="173"/>
      <c r="B20" s="316"/>
      <c r="C20" s="317" t="s">
        <v>282</v>
      </c>
      <c r="D20" s="189">
        <f>'土石流時2-1'!K52</f>
        <v>0.7</v>
      </c>
      <c r="E20" s="187" t="s">
        <v>290</v>
      </c>
      <c r="F20" s="189">
        <f>D4</f>
        <v>2003.8</v>
      </c>
      <c r="G20" s="187" t="s">
        <v>272</v>
      </c>
      <c r="H20" s="193">
        <f>'土石流時2-1'!K55</f>
        <v>330</v>
      </c>
      <c r="I20" s="187" t="s">
        <v>291</v>
      </c>
      <c r="J20" s="189">
        <f>F8</f>
        <v>9.05</v>
      </c>
    </row>
    <row r="21" spans="1:10" ht="16.5" customHeight="1">
      <c r="A21" s="173"/>
      <c r="B21" s="316"/>
      <c r="C21" s="317"/>
      <c r="D21" s="319">
        <f>'土石流時2-2'!N40</f>
        <v>972.77</v>
      </c>
      <c r="E21" s="319"/>
      <c r="F21" s="319"/>
      <c r="G21" s="319"/>
      <c r="H21" s="319"/>
      <c r="I21" s="319"/>
      <c r="J21" s="319"/>
    </row>
    <row r="22" spans="1:10" ht="16.5" customHeight="1">
      <c r="A22" s="173"/>
      <c r="B22" s="20"/>
      <c r="C22" s="20"/>
      <c r="D22" s="192"/>
      <c r="E22" s="129"/>
      <c r="F22" s="129"/>
      <c r="G22" s="129"/>
      <c r="H22" s="129"/>
      <c r="I22" s="129"/>
      <c r="J22" s="129"/>
    </row>
    <row r="23" spans="1:10" ht="16.5" customHeight="1">
      <c r="A23" s="173"/>
      <c r="B23" s="20"/>
      <c r="C23" s="14" t="s">
        <v>292</v>
      </c>
      <c r="D23" s="196">
        <f>ROUNDDOWN((D20*F20+H20*J20)/D21,2)</f>
        <v>4.51</v>
      </c>
      <c r="E23" s="192" t="str">
        <f>IF(D23&gt;=F23,"≧","＜")</f>
        <v>≧</v>
      </c>
      <c r="F23" s="194">
        <f>'土石流時2-1'!K44</f>
        <v>4</v>
      </c>
      <c r="G23" s="129"/>
      <c r="H23" s="129" t="str">
        <f>IF(D23&lt;F23,"OUT","OK")</f>
        <v>OK</v>
      </c>
      <c r="I23" s="129"/>
      <c r="J23" s="129"/>
    </row>
    <row r="24" spans="3:4" ht="16.5" customHeight="1">
      <c r="C24" s="73"/>
      <c r="D24" s="73"/>
    </row>
    <row r="25" spans="3:4" ht="16.5" customHeight="1">
      <c r="C25" s="18" t="s">
        <v>293</v>
      </c>
      <c r="D25" s="172" t="s">
        <v>294</v>
      </c>
    </row>
    <row r="26" spans="1:4" ht="16.5" customHeight="1">
      <c r="A26" s="176"/>
      <c r="B26" s="73"/>
      <c r="C26" s="18" t="s">
        <v>295</v>
      </c>
      <c r="D26" s="172" t="s">
        <v>8</v>
      </c>
    </row>
    <row r="27" spans="3:18" ht="16.5" customHeight="1">
      <c r="C27" s="15" t="s">
        <v>296</v>
      </c>
      <c r="D27" s="17" t="s">
        <v>145</v>
      </c>
      <c r="O27" s="174"/>
      <c r="P27" s="175"/>
      <c r="Q27" s="73"/>
      <c r="R27" s="73"/>
    </row>
    <row r="28" spans="3:18" ht="16.5" customHeight="1">
      <c r="C28" s="15" t="s">
        <v>297</v>
      </c>
      <c r="D28" s="17" t="s">
        <v>164</v>
      </c>
      <c r="O28" s="174"/>
      <c r="P28" s="175"/>
      <c r="Q28" s="73"/>
      <c r="R28" s="73"/>
    </row>
    <row r="29" spans="3:4" ht="16.5" customHeight="1">
      <c r="C29" s="18" t="s">
        <v>298</v>
      </c>
      <c r="D29" s="172" t="s">
        <v>166</v>
      </c>
    </row>
    <row r="30" spans="3:4" ht="16.5" customHeight="1">
      <c r="C30" s="18"/>
      <c r="D30" s="172" t="s">
        <v>167</v>
      </c>
    </row>
    <row r="31" spans="1:4" ht="16.5" customHeight="1">
      <c r="A31" s="12"/>
      <c r="C31" s="18" t="s">
        <v>299</v>
      </c>
      <c r="D31" s="172" t="s">
        <v>169</v>
      </c>
    </row>
    <row r="32" spans="1:5" ht="16.5" customHeight="1">
      <c r="A32" s="12"/>
      <c r="D32" s="18"/>
      <c r="E32" s="172"/>
    </row>
    <row r="33" spans="1:5" ht="16.5" customHeight="1">
      <c r="A33" s="12"/>
      <c r="D33" s="18"/>
      <c r="E33" s="172"/>
    </row>
    <row r="34" spans="1:5" ht="16.5" customHeight="1">
      <c r="A34" s="12"/>
      <c r="D34" s="18"/>
      <c r="E34" s="172"/>
    </row>
    <row r="35" spans="1:5" ht="16.5" customHeight="1">
      <c r="A35" s="12"/>
      <c r="D35" s="18"/>
      <c r="E35" s="172"/>
    </row>
    <row r="36" spans="1:5" ht="16.5" customHeight="1">
      <c r="A36" s="12"/>
      <c r="D36" s="18"/>
      <c r="E36" s="172"/>
    </row>
    <row r="37" spans="1:5" ht="16.5" customHeight="1">
      <c r="A37" s="12"/>
      <c r="D37" s="18"/>
      <c r="E37" s="172"/>
    </row>
    <row r="38" spans="1:5" ht="16.5" customHeight="1">
      <c r="A38" s="12"/>
      <c r="D38" s="18"/>
      <c r="E38" s="172"/>
    </row>
    <row r="39" spans="1:5" ht="16.5" customHeight="1">
      <c r="A39" s="12"/>
      <c r="D39" s="18"/>
      <c r="E39" s="172"/>
    </row>
    <row r="40" spans="1:5" ht="16.5" customHeight="1">
      <c r="A40" s="12"/>
      <c r="D40" s="18"/>
      <c r="E40" s="172"/>
    </row>
    <row r="41" spans="1:5" ht="16.5" customHeight="1">
      <c r="A41" s="12"/>
      <c r="D41" s="18"/>
      <c r="E41" s="172"/>
    </row>
    <row r="42" spans="1:5" ht="16.5" customHeight="1">
      <c r="A42" s="12"/>
      <c r="D42" s="18"/>
      <c r="E42" s="172"/>
    </row>
    <row r="43" spans="1:5" ht="16.5" customHeight="1">
      <c r="A43" s="12"/>
      <c r="D43" s="18"/>
      <c r="E43" s="172"/>
    </row>
    <row r="44" spans="1:5" ht="16.5" customHeight="1">
      <c r="A44" s="12"/>
      <c r="D44" s="18"/>
      <c r="E44" s="172"/>
    </row>
    <row r="45" spans="1:5" ht="16.5" customHeight="1">
      <c r="A45" s="12"/>
      <c r="D45" s="18"/>
      <c r="E45" s="172"/>
    </row>
    <row r="46" spans="1:5" ht="16.5" customHeight="1">
      <c r="A46" s="12"/>
      <c r="D46" s="18"/>
      <c r="E46" s="172"/>
    </row>
    <row r="47" spans="1:21" ht="16.5" customHeight="1">
      <c r="A47" s="179" t="s">
        <v>123</v>
      </c>
      <c r="U47" s="21"/>
    </row>
    <row r="48" spans="1:21" ht="16.5" customHeight="1">
      <c r="A48" s="179"/>
      <c r="U48" s="21"/>
    </row>
    <row r="49" spans="1:18" ht="16.5" customHeight="1">
      <c r="A49" s="316" t="s">
        <v>13</v>
      </c>
      <c r="B49" s="320" t="s">
        <v>300</v>
      </c>
      <c r="C49" s="314" t="s">
        <v>14</v>
      </c>
      <c r="D49" s="187" t="s">
        <v>301</v>
      </c>
      <c r="E49" s="315" t="s">
        <v>10</v>
      </c>
      <c r="F49" s="321">
        <f>F3</f>
        <v>5.99</v>
      </c>
      <c r="G49" s="314" t="s">
        <v>14</v>
      </c>
      <c r="H49" s="189">
        <f>F8</f>
        <v>9.05</v>
      </c>
      <c r="I49" s="315" t="s">
        <v>10</v>
      </c>
      <c r="J49" s="321">
        <f>F49-H49/H50</f>
        <v>1.47</v>
      </c>
      <c r="K49" s="314" t="s">
        <v>11</v>
      </c>
      <c r="O49" s="174"/>
      <c r="P49" s="175"/>
      <c r="Q49" s="73"/>
      <c r="R49" s="73"/>
    </row>
    <row r="50" spans="1:18" ht="16.5" customHeight="1">
      <c r="A50" s="316"/>
      <c r="B50" s="320"/>
      <c r="C50" s="314"/>
      <c r="D50" s="129">
        <v>2</v>
      </c>
      <c r="E50" s="315"/>
      <c r="F50" s="321"/>
      <c r="G50" s="314"/>
      <c r="H50" s="129">
        <v>2</v>
      </c>
      <c r="I50" s="315"/>
      <c r="J50" s="321"/>
      <c r="K50" s="314"/>
      <c r="O50" s="174"/>
      <c r="P50" s="175"/>
      <c r="Q50" s="73"/>
      <c r="R50" s="73"/>
    </row>
    <row r="51" spans="1:9" ht="16.5" customHeight="1">
      <c r="A51" s="12"/>
      <c r="I51" s="18"/>
    </row>
    <row r="52" spans="1:16" ht="16.5" customHeight="1">
      <c r="A52" s="322" t="s">
        <v>302</v>
      </c>
      <c r="B52" s="181" t="s">
        <v>285</v>
      </c>
      <c r="C52" s="314" t="s">
        <v>16</v>
      </c>
      <c r="D52" s="314">
        <v>1</v>
      </c>
      <c r="E52" s="314" t="s">
        <v>303</v>
      </c>
      <c r="F52" s="187">
        <v>6</v>
      </c>
      <c r="G52" s="187" t="s">
        <v>18</v>
      </c>
      <c r="H52" s="187" t="s">
        <v>19</v>
      </c>
      <c r="I52" s="314" t="s">
        <v>20</v>
      </c>
      <c r="J52" s="129"/>
      <c r="P52" s="65"/>
    </row>
    <row r="53" spans="1:16" ht="16.5" customHeight="1">
      <c r="A53" s="322"/>
      <c r="B53" s="192" t="s">
        <v>304</v>
      </c>
      <c r="C53" s="314"/>
      <c r="D53" s="314"/>
      <c r="E53" s="314"/>
      <c r="F53" s="312" t="s">
        <v>304</v>
      </c>
      <c r="G53" s="312"/>
      <c r="H53" s="312"/>
      <c r="I53" s="314"/>
      <c r="J53" s="129"/>
      <c r="P53" s="65"/>
    </row>
    <row r="54" spans="1:16" ht="16.5" customHeight="1">
      <c r="A54" s="12"/>
      <c r="B54" s="129"/>
      <c r="C54" s="129"/>
      <c r="D54" s="129"/>
      <c r="E54" s="129"/>
      <c r="F54" s="129"/>
      <c r="G54" s="129"/>
      <c r="H54" s="129"/>
      <c r="I54" s="129"/>
      <c r="J54" s="129"/>
      <c r="P54" s="65"/>
    </row>
    <row r="55" spans="1:16" ht="16.5" customHeight="1">
      <c r="A55" s="313" t="s">
        <v>305</v>
      </c>
      <c r="B55" s="183">
        <f>B61</f>
        <v>2003.8</v>
      </c>
      <c r="C55" s="314" t="s">
        <v>16</v>
      </c>
      <c r="D55" s="314">
        <v>1</v>
      </c>
      <c r="E55" s="314" t="s">
        <v>306</v>
      </c>
      <c r="F55" s="187">
        <v>6</v>
      </c>
      <c r="G55" s="187" t="s">
        <v>18</v>
      </c>
      <c r="H55" s="189">
        <f>H61</f>
        <v>1.47</v>
      </c>
      <c r="I55" s="314" t="s">
        <v>21</v>
      </c>
      <c r="J55" s="321">
        <f>B55/B56*(D55-F55*H55/F56)</f>
        <v>5.63</v>
      </c>
      <c r="K55" s="323" t="s">
        <v>307</v>
      </c>
      <c r="L55" s="323"/>
      <c r="P55" s="65"/>
    </row>
    <row r="56" spans="1:16" ht="16.5" customHeight="1">
      <c r="A56" s="313"/>
      <c r="B56" s="195">
        <f>H49</f>
        <v>9.05</v>
      </c>
      <c r="C56" s="314"/>
      <c r="D56" s="314"/>
      <c r="E56" s="314"/>
      <c r="F56" s="324">
        <f>B56</f>
        <v>9.05</v>
      </c>
      <c r="G56" s="324"/>
      <c r="H56" s="324"/>
      <c r="I56" s="314"/>
      <c r="J56" s="321"/>
      <c r="K56" s="323"/>
      <c r="L56" s="323"/>
      <c r="P56" s="65"/>
    </row>
    <row r="57" spans="1:16" ht="16.5" customHeight="1">
      <c r="A57" s="18"/>
      <c r="B57" s="195"/>
      <c r="C57" s="184"/>
      <c r="D57" s="184"/>
      <c r="E57" s="184"/>
      <c r="F57" s="196"/>
      <c r="G57" s="196"/>
      <c r="H57" s="196"/>
      <c r="I57" s="184"/>
      <c r="J57" s="188"/>
      <c r="K57" s="73"/>
      <c r="L57" s="169"/>
      <c r="P57" s="65"/>
    </row>
    <row r="58" spans="1:10" ht="16.5" customHeight="1">
      <c r="A58" s="322" t="s">
        <v>308</v>
      </c>
      <c r="B58" s="181" t="s">
        <v>309</v>
      </c>
      <c r="C58" s="314" t="s">
        <v>16</v>
      </c>
      <c r="D58" s="314">
        <v>1</v>
      </c>
      <c r="E58" s="314" t="s">
        <v>17</v>
      </c>
      <c r="F58" s="187">
        <v>6</v>
      </c>
      <c r="G58" s="187" t="s">
        <v>18</v>
      </c>
      <c r="H58" s="187" t="s">
        <v>19</v>
      </c>
      <c r="I58" s="314" t="s">
        <v>20</v>
      </c>
      <c r="J58" s="129"/>
    </row>
    <row r="59" spans="1:10" ht="16.5" customHeight="1">
      <c r="A59" s="322"/>
      <c r="B59" s="192" t="s">
        <v>310</v>
      </c>
      <c r="C59" s="314"/>
      <c r="D59" s="314"/>
      <c r="E59" s="314"/>
      <c r="F59" s="312" t="s">
        <v>310</v>
      </c>
      <c r="G59" s="312"/>
      <c r="H59" s="312"/>
      <c r="I59" s="314"/>
      <c r="J59" s="129"/>
    </row>
    <row r="60" spans="1:10" ht="16.5" customHeight="1">
      <c r="A60" s="12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2" ht="16.5" customHeight="1">
      <c r="A61" s="313" t="s">
        <v>311</v>
      </c>
      <c r="B61" s="183">
        <f>D4</f>
        <v>2003.8</v>
      </c>
      <c r="C61" s="314" t="s">
        <v>16</v>
      </c>
      <c r="D61" s="314">
        <v>1</v>
      </c>
      <c r="E61" s="314" t="s">
        <v>17</v>
      </c>
      <c r="F61" s="187">
        <v>6</v>
      </c>
      <c r="G61" s="187" t="s">
        <v>18</v>
      </c>
      <c r="H61" s="189">
        <f>J49</f>
        <v>1.47</v>
      </c>
      <c r="I61" s="314" t="s">
        <v>21</v>
      </c>
      <c r="J61" s="321">
        <f>B61/B62*(D61+F61*H61/F62)</f>
        <v>437.2</v>
      </c>
      <c r="K61" s="323" t="s">
        <v>307</v>
      </c>
      <c r="L61" s="323"/>
    </row>
    <row r="62" spans="1:12" ht="16.5" customHeight="1">
      <c r="A62" s="313"/>
      <c r="B62" s="197">
        <f>B56</f>
        <v>9.05</v>
      </c>
      <c r="C62" s="314"/>
      <c r="D62" s="314"/>
      <c r="E62" s="314"/>
      <c r="F62" s="324">
        <f>B62</f>
        <v>9.05</v>
      </c>
      <c r="G62" s="324"/>
      <c r="H62" s="324"/>
      <c r="I62" s="314"/>
      <c r="J62" s="321"/>
      <c r="K62" s="323"/>
      <c r="L62" s="323"/>
    </row>
    <row r="63" spans="1:12" ht="16.5" customHeight="1">
      <c r="A63" s="18"/>
      <c r="B63" s="171"/>
      <c r="C63" s="73"/>
      <c r="D63" s="73"/>
      <c r="E63" s="73"/>
      <c r="G63" s="65"/>
      <c r="H63" s="65"/>
      <c r="I63" s="73"/>
      <c r="J63" s="170"/>
      <c r="K63" s="73"/>
      <c r="L63" s="169"/>
    </row>
    <row r="64" spans="1:12" ht="16.5" customHeight="1">
      <c r="A64" s="18"/>
      <c r="C64" s="18" t="s">
        <v>179</v>
      </c>
      <c r="D64" s="172" t="s">
        <v>181</v>
      </c>
      <c r="G64" s="73"/>
      <c r="I64" s="73"/>
      <c r="J64" s="170"/>
      <c r="K64" s="73"/>
      <c r="L64" s="169"/>
    </row>
    <row r="65" spans="1:12" ht="16.5" customHeight="1">
      <c r="A65" s="18"/>
      <c r="B65" s="73"/>
      <c r="C65" s="18" t="s">
        <v>182</v>
      </c>
      <c r="D65" s="172" t="s">
        <v>184</v>
      </c>
      <c r="G65" s="73"/>
      <c r="I65" s="73"/>
      <c r="J65" s="170"/>
      <c r="K65" s="73"/>
      <c r="L65" s="169"/>
    </row>
    <row r="66" spans="1:12" ht="16.5" customHeight="1">
      <c r="A66" s="18"/>
      <c r="C66" s="18" t="s">
        <v>15</v>
      </c>
      <c r="D66" s="16" t="s">
        <v>185</v>
      </c>
      <c r="I66" s="73"/>
      <c r="J66" s="170"/>
      <c r="K66" s="73"/>
      <c r="L66" s="169"/>
    </row>
    <row r="67" spans="1:12" ht="16.5" customHeight="1">
      <c r="A67" s="18"/>
      <c r="B67" s="171"/>
      <c r="C67" s="73"/>
      <c r="D67" s="73"/>
      <c r="E67" s="73"/>
      <c r="G67" s="65"/>
      <c r="H67" s="65"/>
      <c r="I67" s="73"/>
      <c r="J67" s="170"/>
      <c r="K67" s="73"/>
      <c r="L67" s="169"/>
    </row>
    <row r="68" spans="1:12" ht="16.5" customHeight="1">
      <c r="A68" s="18"/>
      <c r="B68" s="253" t="s">
        <v>186</v>
      </c>
      <c r="C68" s="14" t="s">
        <v>6</v>
      </c>
      <c r="D68" s="65">
        <f>J61</f>
        <v>437.2</v>
      </c>
      <c r="E68" s="192" t="str">
        <f>IF(D68&gt;=G68,"＞","≦")</f>
        <v>≦</v>
      </c>
      <c r="F68" s="180" t="s">
        <v>312</v>
      </c>
      <c r="G68" s="198">
        <f>'土石流時2-1'!K43</f>
        <v>1177</v>
      </c>
      <c r="H68" s="129" t="s">
        <v>307</v>
      </c>
      <c r="I68" s="129" t="str">
        <f>IF(G68&lt;D68,"OUT","OK")</f>
        <v>OK</v>
      </c>
      <c r="J68" s="16" t="s">
        <v>190</v>
      </c>
      <c r="K68" s="73"/>
      <c r="L68" s="169"/>
    </row>
    <row r="69" spans="1:12" ht="16.5" customHeight="1">
      <c r="A69" s="18"/>
      <c r="B69" s="171"/>
      <c r="G69" s="65"/>
      <c r="H69" s="65"/>
      <c r="I69" s="73"/>
      <c r="J69" s="203"/>
      <c r="K69" s="73"/>
      <c r="L69" s="169"/>
    </row>
    <row r="70" spans="1:12" ht="16.5" customHeight="1">
      <c r="A70" s="18"/>
      <c r="B70" s="253" t="s">
        <v>313</v>
      </c>
      <c r="C70" s="14" t="s">
        <v>314</v>
      </c>
      <c r="D70" s="65">
        <f>J61</f>
        <v>437.2</v>
      </c>
      <c r="E70" s="192" t="str">
        <f>IF(D70&gt;=G70,"＞","≦")</f>
        <v>≦</v>
      </c>
      <c r="F70" s="180" t="s">
        <v>315</v>
      </c>
      <c r="G70" s="198">
        <f>'土石流時2-1'!K56</f>
        <v>4500</v>
      </c>
      <c r="H70" s="129" t="s">
        <v>176</v>
      </c>
      <c r="I70" s="129" t="str">
        <f>IF(G70&lt;D70,"OUT","OK")</f>
        <v>OK</v>
      </c>
      <c r="J70" s="203" t="s">
        <v>192</v>
      </c>
      <c r="K70" s="73"/>
      <c r="L70" s="169"/>
    </row>
    <row r="71" spans="1:12" ht="16.5" customHeight="1">
      <c r="A71" s="18"/>
      <c r="B71" s="171"/>
      <c r="G71" s="65"/>
      <c r="H71" s="65"/>
      <c r="I71" s="73"/>
      <c r="J71" s="203"/>
      <c r="K71" s="73"/>
      <c r="L71" s="169"/>
    </row>
    <row r="72" spans="1:12" ht="16.5" customHeight="1">
      <c r="A72" s="18"/>
      <c r="B72" s="253" t="s">
        <v>193</v>
      </c>
      <c r="C72" s="14" t="s">
        <v>6</v>
      </c>
      <c r="D72" s="65">
        <f>J55</f>
        <v>5.63</v>
      </c>
      <c r="E72" s="192" t="str">
        <f>IF(D72&lt;=G72,"＜","≧")</f>
        <v>≧</v>
      </c>
      <c r="F72" s="180"/>
      <c r="G72" s="198">
        <v>0</v>
      </c>
      <c r="H72" s="129" t="s">
        <v>307</v>
      </c>
      <c r="I72" s="129" t="str">
        <f>IF(G72&lt;D72,"OK","OUT")</f>
        <v>OK</v>
      </c>
      <c r="J72" s="203" t="s">
        <v>192</v>
      </c>
      <c r="K72" s="73"/>
      <c r="L72" s="169"/>
    </row>
  </sheetData>
  <sheetProtection/>
  <mergeCells count="48">
    <mergeCell ref="A55:A56"/>
    <mergeCell ref="C55:C56"/>
    <mergeCell ref="K61:L62"/>
    <mergeCell ref="F62:H62"/>
    <mergeCell ref="A61:A62"/>
    <mergeCell ref="C61:C62"/>
    <mergeCell ref="D61:D62"/>
    <mergeCell ref="E61:E62"/>
    <mergeCell ref="I61:I62"/>
    <mergeCell ref="J61:J62"/>
    <mergeCell ref="A58:A59"/>
    <mergeCell ref="C58:C59"/>
    <mergeCell ref="D58:D59"/>
    <mergeCell ref="E58:E59"/>
    <mergeCell ref="I58:I59"/>
    <mergeCell ref="F59:H59"/>
    <mergeCell ref="D55:D56"/>
    <mergeCell ref="E55:E56"/>
    <mergeCell ref="I55:I56"/>
    <mergeCell ref="J55:J56"/>
    <mergeCell ref="J49:J50"/>
    <mergeCell ref="K49:K50"/>
    <mergeCell ref="K55:L56"/>
    <mergeCell ref="F56:H56"/>
    <mergeCell ref="A52:A53"/>
    <mergeCell ref="C52:C53"/>
    <mergeCell ref="D52:D53"/>
    <mergeCell ref="E52:E53"/>
    <mergeCell ref="I52:I53"/>
    <mergeCell ref="F53:H53"/>
    <mergeCell ref="B20:B21"/>
    <mergeCell ref="C20:C21"/>
    <mergeCell ref="D21:J21"/>
    <mergeCell ref="A49:A50"/>
    <mergeCell ref="B49:B50"/>
    <mergeCell ref="C49:C50"/>
    <mergeCell ref="E49:E50"/>
    <mergeCell ref="F49:F50"/>
    <mergeCell ref="G49:G50"/>
    <mergeCell ref="I49:I50"/>
    <mergeCell ref="A3:A4"/>
    <mergeCell ref="C3:C4"/>
    <mergeCell ref="E3:E4"/>
    <mergeCell ref="F3:F4"/>
    <mergeCell ref="G3:G4"/>
    <mergeCell ref="B17:B18"/>
    <mergeCell ref="C17:C18"/>
    <mergeCell ref="D18:J18"/>
  </mergeCells>
  <printOptions/>
  <pageMargins left="1.1811023622047245" right="0.1968503937007874" top="1.1811023622047245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L19" sqref="L19"/>
    </sheetView>
  </sheetViews>
  <sheetFormatPr defaultColWidth="8.875" defaultRowHeight="13.5"/>
  <cols>
    <col min="1" max="1" width="4.25390625" style="14" customWidth="1"/>
    <col min="2" max="2" width="6.00390625" style="14" customWidth="1"/>
    <col min="3" max="3" width="1.4921875" style="14" customWidth="1"/>
    <col min="4" max="4" width="8.875" style="14" customWidth="1"/>
    <col min="5" max="5" width="1.4921875" style="14" customWidth="1"/>
    <col min="6" max="6" width="6.875" style="14" customWidth="1"/>
    <col min="7" max="7" width="1.4921875" style="14" customWidth="1"/>
    <col min="8" max="8" width="7.75390625" style="14" customWidth="1"/>
    <col min="9" max="9" width="3.75390625" style="14" customWidth="1"/>
    <col min="10" max="11" width="6.875" style="14" customWidth="1"/>
    <col min="12" max="14" width="4.25390625" style="14" customWidth="1"/>
    <col min="15" max="15" width="2.50390625" style="14" customWidth="1"/>
    <col min="16" max="18" width="4.25390625" style="14" customWidth="1"/>
    <col min="19" max="19" width="1.4921875" style="14" customWidth="1"/>
    <col min="20" max="20" width="6.00390625" style="14" customWidth="1"/>
    <col min="21" max="21" width="1.4921875" style="14" customWidth="1"/>
    <col min="22" max="22" width="1.625" style="14" customWidth="1"/>
    <col min="23" max="16384" width="8.875" style="14" customWidth="1"/>
  </cols>
  <sheetData>
    <row r="1" spans="1:11" ht="18" customHeight="1">
      <c r="A1" s="219" t="s">
        <v>317</v>
      </c>
      <c r="B1" s="220" t="str">
        <f>"安定計算（非越流部 土石流の水深と袖部の高さが一致する断面）　上流勾配 1:"&amp;FIXED(I24,2)</f>
        <v>安定計算（非越流部 土石流の水深と袖部の高さが一致する断面）　上流勾配 1:0.30</v>
      </c>
      <c r="C1" s="221"/>
      <c r="D1" s="221"/>
      <c r="E1" s="222"/>
      <c r="F1" s="222"/>
      <c r="G1" s="222"/>
      <c r="H1" s="222"/>
      <c r="I1" s="222"/>
      <c r="J1" s="222"/>
      <c r="K1" s="222"/>
    </row>
    <row r="2" ht="12" customHeight="1"/>
    <row r="3" ht="18" customHeight="1">
      <c r="B3" s="14" t="s">
        <v>7</v>
      </c>
    </row>
    <row r="4" spans="1:24" s="223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23" customFormat="1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223" customFormat="1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223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40"/>
      <c r="L7" s="40"/>
      <c r="M7" s="40" t="s">
        <v>221</v>
      </c>
      <c r="N7" s="166" t="s">
        <v>222</v>
      </c>
      <c r="O7" s="40"/>
      <c r="P7" s="40"/>
      <c r="Q7" s="40"/>
      <c r="R7" s="40"/>
      <c r="S7" s="40"/>
      <c r="T7" s="40"/>
      <c r="U7" s="40"/>
      <c r="V7" s="14"/>
      <c r="W7" s="14"/>
      <c r="X7" s="14"/>
    </row>
    <row r="8" spans="1:24" s="223" customFormat="1" ht="12" customHeight="1">
      <c r="A8" s="14"/>
      <c r="B8" s="16" t="s">
        <v>223</v>
      </c>
      <c r="C8" s="14"/>
      <c r="D8" s="14"/>
      <c r="E8" s="14"/>
      <c r="F8" s="14"/>
      <c r="G8" s="14"/>
      <c r="H8" s="14" t="s">
        <v>224</v>
      </c>
      <c r="I8" s="14"/>
      <c r="J8" s="14"/>
      <c r="K8" s="14"/>
      <c r="L8" s="14"/>
      <c r="M8" s="167" t="s">
        <v>225</v>
      </c>
      <c r="N8" s="14"/>
      <c r="O8" s="155"/>
      <c r="P8" s="14"/>
      <c r="Q8" s="14"/>
      <c r="R8" s="14"/>
      <c r="S8" s="14"/>
      <c r="T8" s="14"/>
      <c r="U8" s="14"/>
      <c r="V8" s="14"/>
      <c r="W8" s="14"/>
      <c r="X8" s="14"/>
    </row>
    <row r="9" spans="1:24" s="223" customFormat="1" ht="12" customHeight="1">
      <c r="A9" s="14"/>
      <c r="B9" s="168">
        <f>T11</f>
        <v>0.6</v>
      </c>
      <c r="C9" s="14"/>
      <c r="D9" s="14"/>
      <c r="E9" s="14"/>
      <c r="F9" s="14"/>
      <c r="G9" s="14"/>
      <c r="H9" s="14"/>
      <c r="I9" s="284" t="s">
        <v>226</v>
      </c>
      <c r="J9" s="28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223" customFormat="1" ht="12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6" t="s">
        <v>227</v>
      </c>
      <c r="U10" s="14"/>
      <c r="V10" s="14"/>
      <c r="W10" s="14"/>
      <c r="X10" s="14"/>
    </row>
    <row r="11" spans="1:24" s="223" customFormat="1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68">
        <f>'土石流時1-1'!T8</f>
        <v>0.6</v>
      </c>
      <c r="U11" s="14"/>
      <c r="V11" s="14"/>
      <c r="W11" s="14"/>
      <c r="X11" s="14"/>
    </row>
    <row r="12" spans="1:24" s="223" customFormat="1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223" customFormat="1" ht="1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223" customFormat="1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223" customFormat="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223" customFormat="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223" customFormat="1" ht="12">
      <c r="A17" s="14"/>
      <c r="B17" s="14"/>
      <c r="C17" s="14"/>
      <c r="D17" s="14"/>
      <c r="E17" s="14"/>
      <c r="F17" s="14"/>
      <c r="G17" s="14"/>
      <c r="H17" s="14"/>
      <c r="I17" s="14"/>
      <c r="J17" s="14" t="s">
        <v>228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223" customFormat="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223" customFormat="1" ht="12">
      <c r="A19" s="14"/>
      <c r="B19" s="14"/>
      <c r="C19" s="14"/>
      <c r="D19" s="14"/>
      <c r="E19" s="14"/>
      <c r="F19" s="14"/>
      <c r="G19" s="14"/>
      <c r="H19" s="14" t="s">
        <v>229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223" customFormat="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223" customFormat="1" ht="12">
      <c r="A21" s="14"/>
      <c r="B21" s="16" t="s">
        <v>230</v>
      </c>
      <c r="C21" s="14"/>
      <c r="D21" s="14"/>
      <c r="E21" s="325">
        <f>'洪水1-1'!F15</f>
        <v>0.2</v>
      </c>
      <c r="F21" s="325" t="e">
        <v>#REF!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223" customFormat="1" ht="12">
      <c r="A22" s="14"/>
      <c r="B22" s="168">
        <f>'洪水1-1'!B19</f>
        <v>11</v>
      </c>
      <c r="C22" s="14"/>
      <c r="D22" s="14"/>
      <c r="E22" s="14"/>
      <c r="F22" s="14"/>
      <c r="G22" s="14"/>
      <c r="H22" s="14"/>
      <c r="I22" s="14"/>
      <c r="J22" s="18" t="s">
        <v>231</v>
      </c>
      <c r="K22" s="14"/>
      <c r="L22" s="14"/>
      <c r="M22" s="18" t="s">
        <v>232</v>
      </c>
      <c r="N22" s="14"/>
      <c r="O22" s="14"/>
      <c r="P22" s="14"/>
      <c r="Q22" s="14" t="s">
        <v>233</v>
      </c>
      <c r="R22" s="14"/>
      <c r="S22" s="14"/>
      <c r="T22" s="16" t="s">
        <v>234</v>
      </c>
      <c r="U22" s="14"/>
      <c r="V22" s="14"/>
      <c r="W22" s="14"/>
      <c r="X22" s="14"/>
    </row>
    <row r="23" spans="1:24" s="223" customFormat="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68">
        <f>B22</f>
        <v>11</v>
      </c>
      <c r="U23" s="14"/>
      <c r="V23" s="14"/>
      <c r="W23" s="14"/>
      <c r="X23" s="14"/>
    </row>
    <row r="24" spans="1:24" s="223" customFormat="1" ht="12">
      <c r="A24" s="14"/>
      <c r="B24" s="14"/>
      <c r="C24" s="14"/>
      <c r="D24" s="14"/>
      <c r="E24" s="14"/>
      <c r="F24" s="14"/>
      <c r="G24" s="14"/>
      <c r="H24" s="14"/>
      <c r="I24" s="325">
        <f>'洪水1-1'!I16-0.05</f>
        <v>0.3</v>
      </c>
      <c r="J24" s="325" t="e">
        <v>#REF!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223" customFormat="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223" customFormat="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223" customFormat="1" ht="12">
      <c r="A27" s="14"/>
      <c r="B27" s="14"/>
      <c r="C27" s="14"/>
      <c r="D27" s="14"/>
      <c r="E27" s="14"/>
      <c r="F27" s="14" t="s">
        <v>235</v>
      </c>
      <c r="G27" s="14"/>
      <c r="H27" s="14"/>
      <c r="I27" s="14"/>
      <c r="J27" s="14" t="s">
        <v>236</v>
      </c>
      <c r="K27" s="14"/>
      <c r="L27" s="14" t="s">
        <v>237</v>
      </c>
      <c r="M27" s="14"/>
      <c r="N27" s="14"/>
      <c r="O27" s="14"/>
      <c r="P27" s="14" t="s">
        <v>238</v>
      </c>
      <c r="Q27" s="14"/>
      <c r="R27" s="14"/>
      <c r="S27" s="14"/>
      <c r="T27" s="14"/>
      <c r="U27" s="14"/>
      <c r="V27" s="14"/>
      <c r="W27" s="14"/>
      <c r="X27" s="14"/>
    </row>
    <row r="28" spans="1:24" s="223" customFormat="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223" customFormat="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284"/>
      <c r="L29" s="284"/>
      <c r="M29" s="14"/>
      <c r="N29" s="14"/>
      <c r="O29" s="284"/>
      <c r="P29" s="284"/>
      <c r="Q29" s="14"/>
      <c r="R29" s="14"/>
      <c r="S29" s="14"/>
      <c r="T29" s="14"/>
      <c r="U29" s="14"/>
      <c r="V29" s="14"/>
      <c r="W29" s="14"/>
      <c r="X29" s="14"/>
    </row>
    <row r="30" spans="1:24" s="223" customFormat="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223" customFormat="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223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223" customFormat="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223" customFormat="1" ht="12">
      <c r="A34" s="14"/>
      <c r="B34" s="14"/>
      <c r="C34" s="14"/>
      <c r="D34" s="14"/>
      <c r="E34" s="14"/>
      <c r="F34" s="16" t="s">
        <v>239</v>
      </c>
      <c r="G34" s="16"/>
      <c r="H34" s="16" t="s">
        <v>240</v>
      </c>
      <c r="I34" s="326" t="s">
        <v>241</v>
      </c>
      <c r="J34" s="3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223" customFormat="1" ht="12">
      <c r="A35" s="14"/>
      <c r="B35" s="14"/>
      <c r="C35" s="14"/>
      <c r="D35" s="14"/>
      <c r="E35" s="14"/>
      <c r="F35" s="285">
        <f>B22*E21</f>
        <v>2.2</v>
      </c>
      <c r="G35" s="285"/>
      <c r="H35" s="65">
        <f>'洪水1-1'!H33</f>
        <v>3</v>
      </c>
      <c r="I35" s="285">
        <f>B22*I24</f>
        <v>3.3</v>
      </c>
      <c r="J35" s="28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223" customFormat="1" ht="4.5" customHeight="1">
      <c r="A36" s="14"/>
      <c r="B36" s="14"/>
      <c r="C36" s="14"/>
      <c r="D36" s="14"/>
      <c r="E36" s="14"/>
      <c r="F36" s="65"/>
      <c r="G36" s="65"/>
      <c r="H36" s="65"/>
      <c r="I36" s="65"/>
      <c r="J36" s="6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223" customFormat="1" ht="4.5" customHeight="1">
      <c r="A37" s="14"/>
      <c r="B37" s="14"/>
      <c r="C37" s="14"/>
      <c r="D37" s="14"/>
      <c r="E37" s="14"/>
      <c r="F37" s="65"/>
      <c r="G37" s="65"/>
      <c r="H37" s="65"/>
      <c r="I37" s="65"/>
      <c r="J37" s="6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223" customFormat="1" ht="12">
      <c r="A38" s="14"/>
      <c r="B38" s="14"/>
      <c r="C38" s="14"/>
      <c r="D38" s="14"/>
      <c r="E38" s="14"/>
      <c r="F38" s="65"/>
      <c r="G38" s="65"/>
      <c r="H38" s="159" t="s">
        <v>242</v>
      </c>
      <c r="I38" s="159"/>
      <c r="J38" s="6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223" customFormat="1" ht="12">
      <c r="A39" s="14"/>
      <c r="B39" s="14"/>
      <c r="C39" s="14"/>
      <c r="D39" s="14"/>
      <c r="E39" s="14"/>
      <c r="F39" s="285">
        <f>F35+H35+I35</f>
        <v>8.5</v>
      </c>
      <c r="G39" s="285"/>
      <c r="H39" s="285"/>
      <c r="I39" s="285"/>
      <c r="J39" s="28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223" customFormat="1" ht="4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2" spans="4:11" ht="13.5" customHeight="1">
      <c r="D42" s="16" t="s">
        <v>51</v>
      </c>
      <c r="K42" s="16" t="str">
        <f>'土石流時1-1'!K39</f>
        <v>軟岩(Ⅰ)</v>
      </c>
    </row>
    <row r="43" spans="3:12" ht="13.5" customHeight="1">
      <c r="C43" s="17" t="s">
        <v>199</v>
      </c>
      <c r="K43" s="224">
        <f>'土石流時1-1'!K40</f>
        <v>1177</v>
      </c>
      <c r="L43" s="16" t="s">
        <v>243</v>
      </c>
    </row>
    <row r="44" spans="3:11" ht="13.5" customHeight="1">
      <c r="C44" s="16" t="s">
        <v>201</v>
      </c>
      <c r="K44" s="60">
        <f>'土石流時1-1'!K41</f>
        <v>4</v>
      </c>
    </row>
    <row r="45" spans="3:12" ht="13.5" customHeight="1">
      <c r="C45" s="16" t="s">
        <v>200</v>
      </c>
      <c r="F45" s="16"/>
      <c r="G45" s="16"/>
      <c r="H45" s="16"/>
      <c r="K45" s="65">
        <f>'土石流時1-1'!K42</f>
        <v>4</v>
      </c>
      <c r="L45" s="16" t="s">
        <v>244</v>
      </c>
    </row>
    <row r="46" spans="3:12" ht="13.5" customHeight="1">
      <c r="C46" s="17" t="s">
        <v>202</v>
      </c>
      <c r="F46" s="16"/>
      <c r="G46" s="16"/>
      <c r="H46" s="16"/>
      <c r="K46" s="65">
        <f>'土石流時1-1'!K43</f>
        <v>22.56</v>
      </c>
      <c r="L46" s="16" t="s">
        <v>245</v>
      </c>
    </row>
    <row r="47" spans="3:12" ht="13.5" customHeight="1">
      <c r="C47" s="17" t="s">
        <v>203</v>
      </c>
      <c r="F47" s="16"/>
      <c r="G47" s="16"/>
      <c r="H47" s="16"/>
      <c r="K47" s="65">
        <f>'土石流時1-1'!K44</f>
        <v>11.77</v>
      </c>
      <c r="L47" s="16" t="s">
        <v>246</v>
      </c>
    </row>
    <row r="48" spans="3:12" ht="13.5" customHeight="1">
      <c r="C48" s="16" t="s">
        <v>207</v>
      </c>
      <c r="D48" s="217"/>
      <c r="F48" s="16"/>
      <c r="G48" s="16"/>
      <c r="H48" s="16"/>
      <c r="K48" s="65">
        <f>'土石流時1-1'!K45</f>
        <v>8.24</v>
      </c>
      <c r="L48" s="16" t="s">
        <v>246</v>
      </c>
    </row>
    <row r="49" spans="3:12" ht="13.5" customHeight="1">
      <c r="C49" s="16" t="s">
        <v>88</v>
      </c>
      <c r="F49" s="18"/>
      <c r="H49" s="63"/>
      <c r="K49" s="65">
        <f>'土石流時1-1'!K46</f>
        <v>19.18</v>
      </c>
      <c r="L49" s="16" t="s">
        <v>246</v>
      </c>
    </row>
    <row r="50" spans="3:14" ht="13.5" customHeight="1">
      <c r="C50" s="16" t="s">
        <v>208</v>
      </c>
      <c r="D50" s="217"/>
      <c r="F50" s="16"/>
      <c r="G50" s="16"/>
      <c r="H50" s="16"/>
      <c r="K50" s="65">
        <f>'土石流時1-1'!K47</f>
        <v>7.41</v>
      </c>
      <c r="L50" s="16" t="s">
        <v>86</v>
      </c>
      <c r="N50" s="16" t="s">
        <v>209</v>
      </c>
    </row>
    <row r="51" spans="3:15" ht="13.5" customHeight="1">
      <c r="C51" s="17" t="s">
        <v>117</v>
      </c>
      <c r="F51" s="16"/>
      <c r="G51" s="16"/>
      <c r="H51" s="16"/>
      <c r="K51" s="169">
        <f>'土石流時1-1'!K48</f>
        <v>0.3</v>
      </c>
      <c r="L51" s="16"/>
      <c r="O51" s="61"/>
    </row>
    <row r="52" spans="3:15" ht="13.5" customHeight="1">
      <c r="C52" s="16" t="s">
        <v>118</v>
      </c>
      <c r="K52" s="65">
        <f>'土石流時1-1'!K49</f>
        <v>0.7</v>
      </c>
      <c r="O52" s="61"/>
    </row>
    <row r="53" spans="3:15" ht="13.5" customHeight="1">
      <c r="C53" s="16" t="s">
        <v>119</v>
      </c>
      <c r="F53" s="16"/>
      <c r="G53" s="16"/>
      <c r="H53" s="16"/>
      <c r="K53" s="65">
        <f>'土石流時1-1'!K50</f>
        <v>9.81</v>
      </c>
      <c r="L53" s="16" t="s">
        <v>247</v>
      </c>
      <c r="O53" s="61"/>
    </row>
    <row r="54" spans="3:15" ht="13.5" customHeight="1">
      <c r="C54" s="16" t="s">
        <v>204</v>
      </c>
      <c r="K54" s="66">
        <f>'土石流時1-1'!K51</f>
        <v>588</v>
      </c>
      <c r="L54" s="16" t="s">
        <v>176</v>
      </c>
      <c r="O54" s="61"/>
    </row>
    <row r="55" spans="3:15" ht="13.5" customHeight="1">
      <c r="C55" s="16" t="s">
        <v>205</v>
      </c>
      <c r="K55" s="66">
        <f>'土石流時1-1'!K52</f>
        <v>330</v>
      </c>
      <c r="L55" s="16" t="s">
        <v>176</v>
      </c>
      <c r="O55" s="61"/>
    </row>
    <row r="56" spans="3:15" ht="13.5" customHeight="1">
      <c r="C56" s="16" t="s">
        <v>206</v>
      </c>
      <c r="K56" s="66">
        <f>'土石流時1-1'!K53</f>
        <v>4500</v>
      </c>
      <c r="L56" s="16" t="s">
        <v>176</v>
      </c>
      <c r="O56" s="61"/>
    </row>
    <row r="57" ht="13.5" customHeight="1">
      <c r="O57" s="61"/>
    </row>
    <row r="58" spans="1:15" s="1" customFormat="1" ht="15" customHeight="1" thickBot="1">
      <c r="A58" s="14"/>
      <c r="B58" s="286" t="s">
        <v>9</v>
      </c>
      <c r="C58" s="286"/>
      <c r="D58" s="286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9" s="1" customFormat="1" ht="15" customHeight="1">
      <c r="A59" s="14"/>
      <c r="B59" s="287" t="s">
        <v>85</v>
      </c>
      <c r="C59" s="288"/>
      <c r="D59" s="288"/>
      <c r="E59" s="288"/>
      <c r="F59" s="289" t="s">
        <v>334</v>
      </c>
      <c r="G59" s="290"/>
      <c r="H59" s="290"/>
      <c r="I59" s="290"/>
      <c r="J59" s="204">
        <f>'土石流時3-3'!B8</f>
        <v>0</v>
      </c>
      <c r="K59" s="67" t="str">
        <f>'土石流時3-3'!C8</f>
        <v>≦</v>
      </c>
      <c r="L59" s="327">
        <f>'土石流時3-3'!D8</f>
        <v>5.85</v>
      </c>
      <c r="M59" s="327"/>
      <c r="N59" s="67" t="str">
        <f>'土石流時3-3'!E8</f>
        <v>≦</v>
      </c>
      <c r="O59" s="327">
        <f>'土石流時3-3'!F8</f>
        <v>8.5</v>
      </c>
      <c r="P59" s="327"/>
      <c r="Q59" s="162" t="str">
        <f>'土石流時3-3'!G8</f>
        <v>OK</v>
      </c>
      <c r="R59" s="14"/>
      <c r="S59" s="14"/>
    </row>
    <row r="60" spans="1:19" s="1" customFormat="1" ht="15" customHeight="1">
      <c r="A60" s="14"/>
      <c r="B60" s="304" t="s">
        <v>248</v>
      </c>
      <c r="C60" s="305"/>
      <c r="D60" s="305"/>
      <c r="E60" s="305"/>
      <c r="F60" s="300" t="s">
        <v>249</v>
      </c>
      <c r="G60" s="301"/>
      <c r="H60" s="301"/>
      <c r="I60" s="301"/>
      <c r="J60" s="205">
        <f>'土石流時3-3'!D23</f>
        <v>4.22</v>
      </c>
      <c r="K60" s="69" t="str">
        <f>'土石流時3-3'!E23</f>
        <v>≧</v>
      </c>
      <c r="L60" s="331">
        <f>'土石流時3-3'!F23</f>
        <v>4</v>
      </c>
      <c r="M60" s="331"/>
      <c r="N60" s="69" t="str">
        <f>'土石流時3-3'!H23</f>
        <v>OK</v>
      </c>
      <c r="O60" s="69"/>
      <c r="P60" s="69"/>
      <c r="Q60" s="164"/>
      <c r="R60" s="14"/>
      <c r="S60" s="14"/>
    </row>
    <row r="61" spans="1:19" s="1" customFormat="1" ht="15" customHeight="1">
      <c r="A61" s="14"/>
      <c r="B61" s="278" t="s">
        <v>124</v>
      </c>
      <c r="C61" s="291"/>
      <c r="D61" s="291"/>
      <c r="E61" s="292"/>
      <c r="F61" s="302" t="s">
        <v>81</v>
      </c>
      <c r="G61" s="303"/>
      <c r="H61" s="303"/>
      <c r="I61" s="303"/>
      <c r="J61" s="207">
        <f>'土石流時3-3'!D68</f>
        <v>468.14</v>
      </c>
      <c r="K61" s="46" t="str">
        <f>'土石流時3-3'!E68</f>
        <v>≦</v>
      </c>
      <c r="L61" s="328">
        <f>'土石流時3-3'!G68</f>
        <v>1177</v>
      </c>
      <c r="M61" s="328"/>
      <c r="N61" s="46" t="str">
        <f>'土石流時3-3'!I68</f>
        <v>OK</v>
      </c>
      <c r="O61" s="46"/>
      <c r="P61" s="46"/>
      <c r="Q61" s="208"/>
      <c r="R61" s="14"/>
      <c r="S61" s="14"/>
    </row>
    <row r="62" spans="1:19" s="1" customFormat="1" ht="15" customHeight="1">
      <c r="A62" s="14"/>
      <c r="B62" s="278"/>
      <c r="C62" s="291"/>
      <c r="D62" s="291"/>
      <c r="E62" s="292"/>
      <c r="F62" s="296" t="s">
        <v>80</v>
      </c>
      <c r="G62" s="297"/>
      <c r="H62" s="297"/>
      <c r="I62" s="297"/>
      <c r="J62" s="205">
        <f>'土石流時3-3'!D70</f>
        <v>468.14</v>
      </c>
      <c r="K62" s="163" t="str">
        <f>'土石流時3-3'!E70</f>
        <v>≦</v>
      </c>
      <c r="L62" s="330">
        <f>'土石流時3-3'!G70</f>
        <v>4500</v>
      </c>
      <c r="M62" s="330"/>
      <c r="N62" s="163" t="str">
        <f>'土石流時3-3'!I70</f>
        <v>OK</v>
      </c>
      <c r="O62" s="163"/>
      <c r="P62" s="163"/>
      <c r="Q62" s="164"/>
      <c r="R62" s="14"/>
      <c r="S62" s="14"/>
    </row>
    <row r="63" spans="1:19" s="1" customFormat="1" ht="15" customHeight="1" thickBot="1">
      <c r="A63" s="14"/>
      <c r="B63" s="293"/>
      <c r="C63" s="294"/>
      <c r="D63" s="294"/>
      <c r="E63" s="295"/>
      <c r="F63" s="298"/>
      <c r="G63" s="299"/>
      <c r="H63" s="299"/>
      <c r="I63" s="299"/>
      <c r="J63" s="209">
        <f>'土石流時3-3'!D72</f>
        <v>-28.45</v>
      </c>
      <c r="K63" s="210" t="str">
        <f>'土石流時3-3'!E72</f>
        <v>＜</v>
      </c>
      <c r="L63" s="329">
        <f>'土石流時3-3'!G72</f>
        <v>0</v>
      </c>
      <c r="M63" s="329"/>
      <c r="N63" s="210" t="str">
        <f>'土石流時3-3'!I72</f>
        <v>OUT</v>
      </c>
      <c r="O63" s="210"/>
      <c r="P63" s="210"/>
      <c r="Q63" s="71"/>
      <c r="R63" s="14"/>
      <c r="S63" s="14"/>
    </row>
    <row r="64" ht="15.75" customHeight="1">
      <c r="O64" s="61"/>
    </row>
  </sheetData>
  <sheetProtection/>
  <mergeCells count="23">
    <mergeCell ref="L63:M63"/>
    <mergeCell ref="L59:M59"/>
    <mergeCell ref="O59:P59"/>
    <mergeCell ref="B60:E60"/>
    <mergeCell ref="F60:I60"/>
    <mergeCell ref="L60:M60"/>
    <mergeCell ref="B61:E63"/>
    <mergeCell ref="F61:I61"/>
    <mergeCell ref="L61:M61"/>
    <mergeCell ref="F62:I63"/>
    <mergeCell ref="L62:M62"/>
    <mergeCell ref="F35:G35"/>
    <mergeCell ref="I35:J35"/>
    <mergeCell ref="F39:J39"/>
    <mergeCell ref="B58:D58"/>
    <mergeCell ref="B59:E59"/>
    <mergeCell ref="F59:I59"/>
    <mergeCell ref="I9:J9"/>
    <mergeCell ref="E21:F21"/>
    <mergeCell ref="I24:J24"/>
    <mergeCell ref="K29:L29"/>
    <mergeCell ref="O29:P29"/>
    <mergeCell ref="I34:J34"/>
  </mergeCells>
  <printOptions/>
  <pageMargins left="0.7874015748031497" right="0" top="0.984251968503937" bottom="0.1968503937007874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">
      <selection activeCell="AC43" sqref="AC43"/>
    </sheetView>
  </sheetViews>
  <sheetFormatPr defaultColWidth="9.25390625" defaultRowHeight="13.5"/>
  <cols>
    <col min="1" max="1" width="9.375" style="223" customWidth="1"/>
    <col min="2" max="2" width="4.00390625" style="223" customWidth="1"/>
    <col min="3" max="3" width="5.75390625" style="223" customWidth="1"/>
    <col min="4" max="4" width="2.25390625" style="223" customWidth="1"/>
    <col min="5" max="5" width="5.75390625" style="223" customWidth="1"/>
    <col min="6" max="6" width="2.875" style="223" customWidth="1"/>
    <col min="7" max="7" width="5.75390625" style="223" customWidth="1"/>
    <col min="8" max="8" width="2.25390625" style="223" customWidth="1"/>
    <col min="9" max="9" width="5.75390625" style="223" customWidth="1"/>
    <col min="10" max="10" width="2.25390625" style="223" customWidth="1"/>
    <col min="11" max="11" width="5.75390625" style="223" customWidth="1"/>
    <col min="12" max="12" width="2.25390625" style="223" customWidth="1"/>
    <col min="13" max="14" width="7.625" style="223" customWidth="1"/>
    <col min="15" max="15" width="5.75390625" style="223" customWidth="1"/>
    <col min="16" max="16" width="2.875" style="223" customWidth="1"/>
    <col min="17" max="17" width="5.75390625" style="223" customWidth="1"/>
    <col min="18" max="18" width="2.25390625" style="223" customWidth="1"/>
    <col min="19" max="19" width="5.75390625" style="223" customWidth="1"/>
    <col min="20" max="20" width="2.25390625" style="223" customWidth="1"/>
    <col min="21" max="21" width="5.75390625" style="223" customWidth="1"/>
    <col min="22" max="22" width="2.25390625" style="223" customWidth="1"/>
    <col min="23" max="23" width="5.75390625" style="223" customWidth="1"/>
    <col min="24" max="24" width="2.25390625" style="223" customWidth="1"/>
    <col min="25" max="25" width="5.75390625" style="223" customWidth="1"/>
    <col min="26" max="26" width="2.25390625" style="223" customWidth="1"/>
    <col min="27" max="27" width="6.75390625" style="223" customWidth="1"/>
    <col min="28" max="28" width="8.50390625" style="223" customWidth="1"/>
    <col min="29" max="16384" width="9.25390625" style="223" customWidth="1"/>
  </cols>
  <sheetData>
    <row r="1" spans="1:28" ht="18" customHeight="1">
      <c r="A1" s="14"/>
      <c r="B1" s="14"/>
      <c r="C1" s="14"/>
      <c r="D1" s="14"/>
      <c r="E1" s="14"/>
      <c r="F1" s="14"/>
      <c r="G1" s="15" t="s">
        <v>250</v>
      </c>
      <c r="H1" s="16"/>
      <c r="I1" s="17" t="s">
        <v>251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8"/>
      <c r="V1" s="14"/>
      <c r="W1" s="19"/>
      <c r="X1" s="14"/>
      <c r="Y1" s="18"/>
      <c r="Z1" s="14"/>
      <c r="AA1" s="16"/>
      <c r="AB1" s="14"/>
    </row>
    <row r="2" spans="1:28" ht="12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14" customFormat="1" ht="18" customHeight="1">
      <c r="A3" s="306" t="s">
        <v>252</v>
      </c>
      <c r="B3" s="308" t="s">
        <v>253</v>
      </c>
      <c r="C3" s="74"/>
      <c r="D3" s="75"/>
      <c r="E3" s="310" t="s">
        <v>254</v>
      </c>
      <c r="F3" s="310"/>
      <c r="G3" s="310"/>
      <c r="H3" s="310"/>
      <c r="I3" s="310"/>
      <c r="J3" s="310"/>
      <c r="K3" s="75"/>
      <c r="L3" s="75"/>
      <c r="M3" s="76" t="s">
        <v>25</v>
      </c>
      <c r="N3" s="76" t="s">
        <v>26</v>
      </c>
      <c r="O3" s="74"/>
      <c r="P3" s="75"/>
      <c r="Q3" s="310" t="s">
        <v>255</v>
      </c>
      <c r="R3" s="310"/>
      <c r="S3" s="310"/>
      <c r="T3" s="310"/>
      <c r="U3" s="310"/>
      <c r="V3" s="310"/>
      <c r="W3" s="310"/>
      <c r="X3" s="310"/>
      <c r="Y3" s="310"/>
      <c r="Z3" s="310"/>
      <c r="AA3" s="75"/>
      <c r="AB3" s="77" t="s">
        <v>256</v>
      </c>
    </row>
    <row r="4" spans="1:28" s="14" customFormat="1" ht="18" customHeight="1" thickBot="1">
      <c r="A4" s="307"/>
      <c r="B4" s="309"/>
      <c r="C4" s="78"/>
      <c r="D4" s="79"/>
      <c r="E4" s="311"/>
      <c r="F4" s="311"/>
      <c r="G4" s="311"/>
      <c r="H4" s="311"/>
      <c r="I4" s="311"/>
      <c r="J4" s="311"/>
      <c r="K4" s="79"/>
      <c r="L4" s="79"/>
      <c r="M4" s="80" t="s">
        <v>257</v>
      </c>
      <c r="N4" s="80" t="s">
        <v>258</v>
      </c>
      <c r="O4" s="78"/>
      <c r="P4" s="79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79"/>
      <c r="AB4" s="81" t="s">
        <v>259</v>
      </c>
    </row>
    <row r="5" spans="1:29" ht="12.75" thickTop="1">
      <c r="A5" s="82"/>
      <c r="B5" s="83"/>
      <c r="C5" s="83"/>
      <c r="D5" s="84"/>
      <c r="E5" s="84"/>
      <c r="F5" s="84"/>
      <c r="G5" s="84"/>
      <c r="H5" s="84"/>
      <c r="I5" s="84"/>
      <c r="J5" s="84"/>
      <c r="K5" s="84"/>
      <c r="L5" s="85"/>
      <c r="M5" s="86"/>
      <c r="N5" s="86"/>
      <c r="O5" s="83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132"/>
      <c r="AC5" s="225"/>
    </row>
    <row r="6" spans="1:29" ht="12">
      <c r="A6" s="88" t="s">
        <v>28</v>
      </c>
      <c r="B6" s="80" t="s">
        <v>29</v>
      </c>
      <c r="C6" s="89"/>
      <c r="D6" s="79"/>
      <c r="E6" s="90"/>
      <c r="F6" s="79"/>
      <c r="G6" s="90"/>
      <c r="H6" s="79"/>
      <c r="I6" s="79"/>
      <c r="J6" s="79"/>
      <c r="K6" s="79"/>
      <c r="L6" s="90"/>
      <c r="M6" s="91"/>
      <c r="N6" s="91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133"/>
      <c r="AB6" s="92"/>
      <c r="AC6" s="226"/>
    </row>
    <row r="7" spans="1:28" ht="12" customHeight="1">
      <c r="A7" s="93"/>
      <c r="B7" s="94"/>
      <c r="C7" s="134">
        <v>1</v>
      </c>
      <c r="D7" s="95"/>
      <c r="E7" s="95"/>
      <c r="F7" s="95"/>
      <c r="G7" s="135"/>
      <c r="H7" s="95"/>
      <c r="I7" s="96">
        <v>2</v>
      </c>
      <c r="J7" s="95"/>
      <c r="K7" s="95"/>
      <c r="L7" s="95"/>
      <c r="M7" s="97"/>
      <c r="N7" s="97"/>
      <c r="O7" s="134">
        <v>2</v>
      </c>
      <c r="P7" s="112"/>
      <c r="Q7" s="112"/>
      <c r="R7" s="112"/>
      <c r="S7" s="112"/>
      <c r="T7" s="95"/>
      <c r="U7" s="95"/>
      <c r="V7" s="95"/>
      <c r="W7" s="95"/>
      <c r="X7" s="95"/>
      <c r="Y7" s="95"/>
      <c r="Z7" s="95"/>
      <c r="AA7" s="136"/>
      <c r="AB7" s="98"/>
    </row>
    <row r="8" spans="1:28" ht="12">
      <c r="A8" s="99"/>
      <c r="B8" s="80" t="s">
        <v>30</v>
      </c>
      <c r="C8" s="100">
        <v>2</v>
      </c>
      <c r="D8" s="101" t="s">
        <v>31</v>
      </c>
      <c r="E8" s="101">
        <f>'土石流時3-1'!K46</f>
        <v>22.56</v>
      </c>
      <c r="F8" s="101" t="s">
        <v>31</v>
      </c>
      <c r="G8" s="101">
        <f>'土石流時3-1'!I24</f>
        <v>0.3</v>
      </c>
      <c r="H8" s="101" t="s">
        <v>31</v>
      </c>
      <c r="I8" s="101">
        <f>'土石流時3-1'!B22</f>
        <v>11</v>
      </c>
      <c r="J8" s="79"/>
      <c r="K8" s="79"/>
      <c r="L8" s="79"/>
      <c r="M8" s="227">
        <f>E8*G8*I8^I7/C8</f>
        <v>409.46</v>
      </c>
      <c r="N8" s="227"/>
      <c r="O8" s="100">
        <v>3</v>
      </c>
      <c r="P8" s="101" t="s">
        <v>31</v>
      </c>
      <c r="Q8" s="101">
        <f>G8</f>
        <v>0.3</v>
      </c>
      <c r="R8" s="101" t="s">
        <v>31</v>
      </c>
      <c r="S8" s="101">
        <f>I8</f>
        <v>11</v>
      </c>
      <c r="T8" s="79"/>
      <c r="U8" s="79"/>
      <c r="V8" s="79"/>
      <c r="W8" s="79"/>
      <c r="X8" s="79"/>
      <c r="Y8" s="79"/>
      <c r="Z8" s="101" t="s">
        <v>10</v>
      </c>
      <c r="AA8" s="137">
        <f>O7/O8*Q8*S8</f>
        <v>2.2</v>
      </c>
      <c r="AB8" s="228">
        <f>ROUND(AA8*M8+AA8*N8,2)</f>
        <v>900.81</v>
      </c>
    </row>
    <row r="9" spans="1:28" ht="12">
      <c r="A9" s="93"/>
      <c r="B9" s="94"/>
      <c r="C9" s="111"/>
      <c r="D9" s="112"/>
      <c r="E9" s="112"/>
      <c r="F9" s="112"/>
      <c r="G9" s="112"/>
      <c r="H9" s="112"/>
      <c r="I9" s="112"/>
      <c r="J9" s="95"/>
      <c r="K9" s="95"/>
      <c r="L9" s="95"/>
      <c r="M9" s="97"/>
      <c r="N9" s="97"/>
      <c r="O9" s="94"/>
      <c r="P9" s="95"/>
      <c r="Q9" s="95"/>
      <c r="R9" s="112"/>
      <c r="S9" s="138">
        <v>1</v>
      </c>
      <c r="T9" s="112"/>
      <c r="U9" s="112"/>
      <c r="V9" s="95"/>
      <c r="W9" s="95"/>
      <c r="X9" s="95"/>
      <c r="Y9" s="112"/>
      <c r="Z9" s="112"/>
      <c r="AA9" s="139"/>
      <c r="AB9" s="229"/>
    </row>
    <row r="10" spans="1:28" ht="12">
      <c r="A10" s="99"/>
      <c r="B10" s="80" t="s">
        <v>32</v>
      </c>
      <c r="C10" s="141">
        <f>E8</f>
        <v>22.56</v>
      </c>
      <c r="D10" s="101" t="str">
        <f>D8</f>
        <v>×</v>
      </c>
      <c r="E10" s="101">
        <f>'土石流時3-1'!H35</f>
        <v>3</v>
      </c>
      <c r="F10" s="101" t="str">
        <f>F8</f>
        <v>×</v>
      </c>
      <c r="G10" s="101">
        <f>'土石流時3-1'!B22</f>
        <v>11</v>
      </c>
      <c r="H10" s="90"/>
      <c r="I10" s="90"/>
      <c r="J10" s="79"/>
      <c r="K10" s="79"/>
      <c r="L10" s="79"/>
      <c r="M10" s="227">
        <f>C10*E10*G10</f>
        <v>744.48</v>
      </c>
      <c r="N10" s="227"/>
      <c r="O10" s="141">
        <f>G8</f>
        <v>0.3</v>
      </c>
      <c r="P10" s="101" t="s">
        <v>31</v>
      </c>
      <c r="Q10" s="101">
        <f>S8</f>
        <v>11</v>
      </c>
      <c r="R10" s="101" t="s">
        <v>17</v>
      </c>
      <c r="S10" s="110">
        <v>2</v>
      </c>
      <c r="T10" s="101" t="s">
        <v>31</v>
      </c>
      <c r="U10" s="101">
        <f>E10</f>
        <v>3</v>
      </c>
      <c r="V10" s="79"/>
      <c r="W10" s="79"/>
      <c r="X10" s="79"/>
      <c r="Y10" s="103"/>
      <c r="Z10" s="101" t="s">
        <v>10</v>
      </c>
      <c r="AA10" s="142">
        <f>Q10*O10+U10/S10</f>
        <v>4.8</v>
      </c>
      <c r="AB10" s="228">
        <f>ROUND(AA10*M10+AA10*N10,2)</f>
        <v>3573.5</v>
      </c>
    </row>
    <row r="11" spans="1:28" ht="13.5">
      <c r="A11" s="93"/>
      <c r="B11" s="94"/>
      <c r="C11" s="134">
        <v>1</v>
      </c>
      <c r="D11" s="112"/>
      <c r="E11" s="112"/>
      <c r="F11" s="112"/>
      <c r="G11" s="112"/>
      <c r="H11" s="112"/>
      <c r="I11" s="114">
        <v>2</v>
      </c>
      <c r="J11" s="95"/>
      <c r="K11" s="95"/>
      <c r="L11" s="95"/>
      <c r="M11" s="97"/>
      <c r="N11" s="97"/>
      <c r="O11" s="94"/>
      <c r="P11" s="95"/>
      <c r="Q11" s="95"/>
      <c r="R11" s="95"/>
      <c r="S11" s="95"/>
      <c r="T11" s="95"/>
      <c r="U11" s="138">
        <v>1</v>
      </c>
      <c r="V11" s="95"/>
      <c r="W11" s="95"/>
      <c r="X11" s="95"/>
      <c r="Y11" s="95"/>
      <c r="Z11" s="95"/>
      <c r="AA11" s="136"/>
      <c r="AB11" s="229"/>
    </row>
    <row r="12" spans="1:28" ht="12">
      <c r="A12" s="99"/>
      <c r="B12" s="80" t="s">
        <v>33</v>
      </c>
      <c r="C12" s="100">
        <v>2</v>
      </c>
      <c r="D12" s="101" t="str">
        <f>D10</f>
        <v>×</v>
      </c>
      <c r="E12" s="101">
        <f>C10</f>
        <v>22.56</v>
      </c>
      <c r="F12" s="101" t="str">
        <f>F10</f>
        <v>×</v>
      </c>
      <c r="G12" s="101">
        <f>'土石流時3-1'!E21</f>
        <v>0.2</v>
      </c>
      <c r="H12" s="101" t="str">
        <f>H8</f>
        <v>×</v>
      </c>
      <c r="I12" s="101">
        <f>'土石流時3-1'!B22</f>
        <v>11</v>
      </c>
      <c r="J12" s="79"/>
      <c r="K12" s="79"/>
      <c r="L12" s="79"/>
      <c r="M12" s="227">
        <f>E12*G12*I12^I11/C12</f>
        <v>272.98</v>
      </c>
      <c r="N12" s="227"/>
      <c r="O12" s="141">
        <f>O10</f>
        <v>0.3</v>
      </c>
      <c r="P12" s="101" t="s">
        <v>31</v>
      </c>
      <c r="Q12" s="101">
        <f>Q10</f>
        <v>11</v>
      </c>
      <c r="R12" s="101" t="s">
        <v>17</v>
      </c>
      <c r="S12" s="101">
        <f>U10</f>
        <v>3</v>
      </c>
      <c r="T12" s="101" t="s">
        <v>17</v>
      </c>
      <c r="U12" s="110">
        <v>3</v>
      </c>
      <c r="V12" s="101" t="s">
        <v>31</v>
      </c>
      <c r="W12" s="101">
        <f>G12</f>
        <v>0.2</v>
      </c>
      <c r="X12" s="101" t="s">
        <v>31</v>
      </c>
      <c r="Y12" s="101">
        <f>I12</f>
        <v>11</v>
      </c>
      <c r="Z12" s="101" t="s">
        <v>10</v>
      </c>
      <c r="AA12" s="142">
        <f>Q12*O12+S12+Y12*W12/U12</f>
        <v>7.03</v>
      </c>
      <c r="AB12" s="228">
        <f>ROUND(AA12*M12+AA12*N12,2)</f>
        <v>1919.05</v>
      </c>
    </row>
    <row r="13" spans="1:28" ht="12">
      <c r="A13" s="93"/>
      <c r="B13" s="94"/>
      <c r="C13" s="111"/>
      <c r="D13" s="112"/>
      <c r="E13" s="112"/>
      <c r="F13" s="112"/>
      <c r="G13" s="112"/>
      <c r="H13" s="112"/>
      <c r="I13" s="112"/>
      <c r="J13" s="95"/>
      <c r="K13" s="95"/>
      <c r="L13" s="95"/>
      <c r="M13" s="97"/>
      <c r="N13" s="97"/>
      <c r="O13" s="94"/>
      <c r="P13" s="95"/>
      <c r="Q13" s="95"/>
      <c r="R13" s="112"/>
      <c r="S13" s="138">
        <v>1</v>
      </c>
      <c r="T13" s="112"/>
      <c r="U13" s="112"/>
      <c r="V13" s="95"/>
      <c r="W13" s="95"/>
      <c r="X13" s="95"/>
      <c r="Y13" s="112"/>
      <c r="Z13" s="112"/>
      <c r="AA13" s="139"/>
      <c r="AB13" s="229"/>
    </row>
    <row r="14" spans="1:28" ht="12">
      <c r="A14" s="99"/>
      <c r="B14" s="80" t="s">
        <v>260</v>
      </c>
      <c r="C14" s="141">
        <f>C10</f>
        <v>22.56</v>
      </c>
      <c r="D14" s="101" t="str">
        <f>D12</f>
        <v>×</v>
      </c>
      <c r="E14" s="101">
        <f>E10</f>
        <v>3</v>
      </c>
      <c r="F14" s="101" t="str">
        <f>F12</f>
        <v>×</v>
      </c>
      <c r="G14" s="101">
        <f>'土石流時3-1'!B9</f>
        <v>0.6</v>
      </c>
      <c r="H14" s="90"/>
      <c r="I14" s="90"/>
      <c r="J14" s="79"/>
      <c r="K14" s="79"/>
      <c r="L14" s="79"/>
      <c r="M14" s="227">
        <f>C14*E14*G14</f>
        <v>40.61</v>
      </c>
      <c r="N14" s="227"/>
      <c r="O14" s="141">
        <f>O10</f>
        <v>0.3</v>
      </c>
      <c r="P14" s="101" t="s">
        <v>31</v>
      </c>
      <c r="Q14" s="101">
        <f>Q12</f>
        <v>11</v>
      </c>
      <c r="R14" s="101" t="s">
        <v>17</v>
      </c>
      <c r="S14" s="110">
        <v>2</v>
      </c>
      <c r="T14" s="101" t="s">
        <v>31</v>
      </c>
      <c r="U14" s="101">
        <f>E14</f>
        <v>3</v>
      </c>
      <c r="V14" s="79"/>
      <c r="W14" s="79"/>
      <c r="X14" s="79"/>
      <c r="Y14" s="103"/>
      <c r="Z14" s="101" t="s">
        <v>10</v>
      </c>
      <c r="AA14" s="142">
        <f>Q14*O14+U14/S14</f>
        <v>4.8</v>
      </c>
      <c r="AB14" s="228">
        <f>ROUND(AA14*M14+AA14*N14,2)</f>
        <v>194.93</v>
      </c>
    </row>
    <row r="15" spans="1:28" ht="12">
      <c r="A15" s="93"/>
      <c r="B15" s="94"/>
      <c r="C15" s="111"/>
      <c r="D15" s="112"/>
      <c r="E15" s="112"/>
      <c r="F15" s="112"/>
      <c r="G15" s="112"/>
      <c r="H15" s="112"/>
      <c r="I15" s="95"/>
      <c r="J15" s="95"/>
      <c r="K15" s="95"/>
      <c r="L15" s="112"/>
      <c r="M15" s="97"/>
      <c r="N15" s="97"/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39"/>
      <c r="AB15" s="229"/>
    </row>
    <row r="16" spans="1:28" ht="12">
      <c r="A16" s="88" t="s">
        <v>34</v>
      </c>
      <c r="B16" s="80" t="s">
        <v>35</v>
      </c>
      <c r="C16" s="119"/>
      <c r="D16" s="103"/>
      <c r="E16" s="103"/>
      <c r="F16" s="103"/>
      <c r="G16" s="103"/>
      <c r="H16" s="103"/>
      <c r="I16" s="79"/>
      <c r="J16" s="79"/>
      <c r="K16" s="79"/>
      <c r="L16" s="103"/>
      <c r="M16" s="227"/>
      <c r="N16" s="227"/>
      <c r="O16" s="119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42"/>
      <c r="AB16" s="228"/>
    </row>
    <row r="17" spans="1:28" ht="13.5">
      <c r="A17" s="93"/>
      <c r="B17" s="94"/>
      <c r="C17" s="134">
        <v>1</v>
      </c>
      <c r="D17" s="112"/>
      <c r="E17" s="112"/>
      <c r="F17" s="112"/>
      <c r="G17" s="112"/>
      <c r="H17" s="112"/>
      <c r="I17" s="95"/>
      <c r="J17" s="114">
        <v>2</v>
      </c>
      <c r="K17" s="95"/>
      <c r="L17" s="114"/>
      <c r="M17" s="97"/>
      <c r="N17" s="97"/>
      <c r="O17" s="134">
        <v>1</v>
      </c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39"/>
      <c r="AB17" s="229"/>
    </row>
    <row r="18" spans="1:28" ht="12">
      <c r="A18" s="99"/>
      <c r="B18" s="80" t="s">
        <v>36</v>
      </c>
      <c r="C18" s="100">
        <v>2</v>
      </c>
      <c r="D18" s="101" t="s">
        <v>31</v>
      </c>
      <c r="E18" s="101">
        <f>'土石流時3-1'!K47</f>
        <v>11.77</v>
      </c>
      <c r="F18" s="101" t="s">
        <v>31</v>
      </c>
      <c r="G18" s="101">
        <f>'土石流時3-1'!I24</f>
        <v>0.3</v>
      </c>
      <c r="H18" s="101" t="s">
        <v>261</v>
      </c>
      <c r="I18" s="101">
        <f>'土石流時3-1'!B22</f>
        <v>11</v>
      </c>
      <c r="J18" s="101"/>
      <c r="K18" s="101"/>
      <c r="L18" s="79"/>
      <c r="M18" s="227">
        <f>E18*G18*I18^J17/C18</f>
        <v>213.63</v>
      </c>
      <c r="N18" s="227"/>
      <c r="O18" s="100">
        <v>3</v>
      </c>
      <c r="P18" s="101" t="s">
        <v>31</v>
      </c>
      <c r="Q18" s="101">
        <f>G18</f>
        <v>0.3</v>
      </c>
      <c r="R18" s="101" t="s">
        <v>262</v>
      </c>
      <c r="S18" s="101">
        <f>I18</f>
        <v>11</v>
      </c>
      <c r="T18" s="101"/>
      <c r="U18" s="101"/>
      <c r="V18" s="79"/>
      <c r="W18" s="103"/>
      <c r="X18" s="103"/>
      <c r="Y18" s="103"/>
      <c r="Z18" s="101" t="s">
        <v>10</v>
      </c>
      <c r="AA18" s="142">
        <f>Q18*S18/O18</f>
        <v>1.1</v>
      </c>
      <c r="AB18" s="228">
        <f>ROUND(AA18*M18+AA18*N18,2)</f>
        <v>234.99</v>
      </c>
    </row>
    <row r="19" spans="1:28" ht="13.5">
      <c r="A19" s="93"/>
      <c r="B19" s="94"/>
      <c r="C19" s="134">
        <v>1</v>
      </c>
      <c r="D19" s="112"/>
      <c r="E19" s="112"/>
      <c r="F19" s="112"/>
      <c r="G19" s="95"/>
      <c r="H19" s="114">
        <v>2</v>
      </c>
      <c r="I19" s="95"/>
      <c r="J19" s="114"/>
      <c r="K19" s="95"/>
      <c r="L19" s="95"/>
      <c r="M19" s="97"/>
      <c r="N19" s="97"/>
      <c r="O19" s="134">
        <v>1</v>
      </c>
      <c r="P19" s="112"/>
      <c r="Q19" s="143"/>
      <c r="R19" s="143"/>
      <c r="S19" s="143"/>
      <c r="T19" s="112"/>
      <c r="U19" s="112"/>
      <c r="V19" s="112"/>
      <c r="W19" s="112"/>
      <c r="X19" s="112"/>
      <c r="Y19" s="112"/>
      <c r="Z19" s="112"/>
      <c r="AA19" s="139"/>
      <c r="AB19" s="229"/>
    </row>
    <row r="20" spans="1:28" ht="12">
      <c r="A20" s="99"/>
      <c r="B20" s="80" t="s">
        <v>40</v>
      </c>
      <c r="C20" s="100">
        <v>2</v>
      </c>
      <c r="D20" s="101" t="s">
        <v>31</v>
      </c>
      <c r="E20" s="101">
        <f>E18</f>
        <v>11.77</v>
      </c>
      <c r="F20" s="101" t="s">
        <v>263</v>
      </c>
      <c r="G20" s="101">
        <f>I18</f>
        <v>11</v>
      </c>
      <c r="H20" s="101"/>
      <c r="I20" s="101"/>
      <c r="J20" s="79"/>
      <c r="K20" s="79"/>
      <c r="L20" s="79"/>
      <c r="M20" s="227"/>
      <c r="N20" s="227">
        <f>E20*G20^H19/C20</f>
        <v>712.09</v>
      </c>
      <c r="O20" s="100">
        <v>3</v>
      </c>
      <c r="P20" s="101" t="s">
        <v>264</v>
      </c>
      <c r="Q20" s="101">
        <f>G20</f>
        <v>11</v>
      </c>
      <c r="R20" s="101"/>
      <c r="S20" s="101"/>
      <c r="T20" s="79"/>
      <c r="U20" s="103"/>
      <c r="V20" s="103"/>
      <c r="W20" s="103"/>
      <c r="X20" s="103"/>
      <c r="Y20" s="103"/>
      <c r="Z20" s="101" t="s">
        <v>10</v>
      </c>
      <c r="AA20" s="142">
        <f>Q20/O20</f>
        <v>3.67</v>
      </c>
      <c r="AB20" s="228">
        <f>ROUND(AA20*M20+AA20*N20,2)</f>
        <v>2613.37</v>
      </c>
    </row>
    <row r="21" spans="1:28" ht="12">
      <c r="A21" s="93"/>
      <c r="B21" s="94"/>
      <c r="C21" s="111"/>
      <c r="D21" s="112"/>
      <c r="E21" s="112"/>
      <c r="F21" s="112"/>
      <c r="G21" s="112"/>
      <c r="H21" s="95"/>
      <c r="I21" s="95"/>
      <c r="J21" s="95"/>
      <c r="K21" s="95"/>
      <c r="L21" s="95"/>
      <c r="M21" s="97"/>
      <c r="N21" s="97"/>
      <c r="O21" s="134">
        <v>1</v>
      </c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39"/>
      <c r="AB21" s="229"/>
    </row>
    <row r="22" spans="1:28" ht="12">
      <c r="A22" s="99"/>
      <c r="B22" s="80" t="s">
        <v>41</v>
      </c>
      <c r="C22" s="141">
        <f>'土石流時3-1'!T11</f>
        <v>0.6</v>
      </c>
      <c r="D22" s="101" t="s">
        <v>31</v>
      </c>
      <c r="E22" s="101">
        <f>E20</f>
        <v>11.77</v>
      </c>
      <c r="F22" s="101" t="s">
        <v>265</v>
      </c>
      <c r="G22" s="101">
        <f>G20</f>
        <v>11</v>
      </c>
      <c r="H22" s="101"/>
      <c r="I22" s="101"/>
      <c r="J22" s="79"/>
      <c r="K22" s="79"/>
      <c r="L22" s="79"/>
      <c r="M22" s="227"/>
      <c r="N22" s="227">
        <f>E22*G22*C22</f>
        <v>77.68</v>
      </c>
      <c r="O22" s="100">
        <v>2</v>
      </c>
      <c r="P22" s="101" t="s">
        <v>264</v>
      </c>
      <c r="Q22" s="101">
        <f>G22</f>
        <v>11</v>
      </c>
      <c r="R22" s="101"/>
      <c r="S22" s="101"/>
      <c r="T22" s="79"/>
      <c r="U22" s="103"/>
      <c r="V22" s="103"/>
      <c r="W22" s="103"/>
      <c r="X22" s="103"/>
      <c r="Y22" s="103"/>
      <c r="Z22" s="101" t="s">
        <v>10</v>
      </c>
      <c r="AA22" s="142">
        <f>Q22/O22</f>
        <v>5.5</v>
      </c>
      <c r="AB22" s="228">
        <f>ROUND(AA22*M22+AA22*N22,2)</f>
        <v>427.24</v>
      </c>
    </row>
    <row r="23" spans="1:28" ht="12">
      <c r="A23" s="93"/>
      <c r="B23" s="94"/>
      <c r="C23" s="111"/>
      <c r="D23" s="112"/>
      <c r="E23" s="112"/>
      <c r="F23" s="112"/>
      <c r="G23" s="107"/>
      <c r="H23" s="112"/>
      <c r="I23" s="112"/>
      <c r="J23" s="95"/>
      <c r="K23" s="95"/>
      <c r="L23" s="95"/>
      <c r="M23" s="97"/>
      <c r="N23" s="97"/>
      <c r="O23" s="111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39"/>
      <c r="AB23" s="229"/>
    </row>
    <row r="24" spans="1:28" ht="12">
      <c r="A24" s="88" t="s">
        <v>52</v>
      </c>
      <c r="B24" s="80" t="s">
        <v>53</v>
      </c>
      <c r="C24" s="109"/>
      <c r="D24" s="103"/>
      <c r="E24" s="90"/>
      <c r="F24" s="103"/>
      <c r="G24" s="90"/>
      <c r="H24" s="103"/>
      <c r="I24" s="103"/>
      <c r="J24" s="79"/>
      <c r="K24" s="79"/>
      <c r="L24" s="79"/>
      <c r="M24" s="227"/>
      <c r="N24" s="227"/>
      <c r="O24" s="109"/>
      <c r="P24" s="103"/>
      <c r="Q24" s="90"/>
      <c r="R24" s="103"/>
      <c r="S24" s="90"/>
      <c r="T24" s="103"/>
      <c r="U24" s="103"/>
      <c r="V24" s="103"/>
      <c r="W24" s="103"/>
      <c r="X24" s="103"/>
      <c r="Y24" s="103"/>
      <c r="Z24" s="103"/>
      <c r="AA24" s="142"/>
      <c r="AB24" s="228"/>
    </row>
    <row r="25" spans="1:28" ht="13.5">
      <c r="A25" s="93"/>
      <c r="B25" s="94"/>
      <c r="C25" s="134">
        <v>1</v>
      </c>
      <c r="D25" s="112"/>
      <c r="E25" s="112"/>
      <c r="F25" s="112"/>
      <c r="G25" s="112"/>
      <c r="H25" s="112"/>
      <c r="I25" s="95"/>
      <c r="J25" s="114">
        <v>2</v>
      </c>
      <c r="K25" s="95"/>
      <c r="L25" s="114"/>
      <c r="M25" s="97"/>
      <c r="N25" s="97"/>
      <c r="O25" s="134">
        <v>1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39"/>
      <c r="AB25" s="229"/>
    </row>
    <row r="26" spans="1:28" ht="12" customHeight="1">
      <c r="A26" s="99"/>
      <c r="B26" s="80" t="s">
        <v>54</v>
      </c>
      <c r="C26" s="100">
        <v>2</v>
      </c>
      <c r="D26" s="101" t="s">
        <v>31</v>
      </c>
      <c r="E26" s="101">
        <f>'土石流時3-1'!K48</f>
        <v>8.24</v>
      </c>
      <c r="F26" s="101" t="s">
        <v>31</v>
      </c>
      <c r="G26" s="101">
        <f>G18</f>
        <v>0.3</v>
      </c>
      <c r="H26" s="101" t="s">
        <v>265</v>
      </c>
      <c r="I26" s="101">
        <f>I18</f>
        <v>11</v>
      </c>
      <c r="J26" s="101"/>
      <c r="K26" s="101"/>
      <c r="L26" s="79"/>
      <c r="M26" s="227">
        <f>E26*G26*I26^J25/C26</f>
        <v>149.56</v>
      </c>
      <c r="N26" s="227"/>
      <c r="O26" s="100">
        <v>3</v>
      </c>
      <c r="P26" s="101" t="s">
        <v>31</v>
      </c>
      <c r="Q26" s="101">
        <f>G26</f>
        <v>0.3</v>
      </c>
      <c r="R26" s="101" t="s">
        <v>266</v>
      </c>
      <c r="S26" s="101">
        <f>I26</f>
        <v>11</v>
      </c>
      <c r="T26" s="101"/>
      <c r="U26" s="101"/>
      <c r="V26" s="79"/>
      <c r="W26" s="103"/>
      <c r="X26" s="103"/>
      <c r="Y26" s="103"/>
      <c r="Z26" s="101" t="s">
        <v>10</v>
      </c>
      <c r="AA26" s="142">
        <f>Q26*S26/O26</f>
        <v>1.1</v>
      </c>
      <c r="AB26" s="228">
        <f>ROUND(AA26*M26+AA26*N26,2)</f>
        <v>164.52</v>
      </c>
    </row>
    <row r="27" spans="1:28" ht="13.5">
      <c r="A27" s="93"/>
      <c r="B27" s="94"/>
      <c r="C27" s="134">
        <v>1</v>
      </c>
      <c r="D27" s="112"/>
      <c r="E27" s="112"/>
      <c r="F27" s="112"/>
      <c r="G27" s="112"/>
      <c r="H27" s="112"/>
      <c r="I27" s="95"/>
      <c r="J27" s="114">
        <v>2</v>
      </c>
      <c r="K27" s="95"/>
      <c r="L27" s="114"/>
      <c r="M27" s="97"/>
      <c r="N27" s="230"/>
      <c r="O27" s="134">
        <v>1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39"/>
      <c r="AB27" s="229"/>
    </row>
    <row r="28" spans="1:28" ht="12">
      <c r="A28" s="99"/>
      <c r="B28" s="80" t="s">
        <v>55</v>
      </c>
      <c r="C28" s="100">
        <v>2</v>
      </c>
      <c r="D28" s="101" t="s">
        <v>31</v>
      </c>
      <c r="E28" s="101">
        <f>'土石流時3-1'!K51</f>
        <v>0.3</v>
      </c>
      <c r="F28" s="101" t="s">
        <v>31</v>
      </c>
      <c r="G28" s="101">
        <f>E26</f>
        <v>8.24</v>
      </c>
      <c r="H28" s="101" t="s">
        <v>267</v>
      </c>
      <c r="I28" s="101">
        <f>I26</f>
        <v>11</v>
      </c>
      <c r="J28" s="101"/>
      <c r="K28" s="101"/>
      <c r="L28" s="79"/>
      <c r="M28" s="227"/>
      <c r="N28" s="227">
        <f>E28*G28*I28^J27/C28</f>
        <v>149.56</v>
      </c>
      <c r="O28" s="100">
        <v>3</v>
      </c>
      <c r="P28" s="101" t="s">
        <v>31</v>
      </c>
      <c r="Q28" s="101">
        <f>I28</f>
        <v>11</v>
      </c>
      <c r="R28" s="101"/>
      <c r="S28" s="101"/>
      <c r="T28" s="79"/>
      <c r="U28" s="103"/>
      <c r="V28" s="103"/>
      <c r="W28" s="103"/>
      <c r="X28" s="103"/>
      <c r="Y28" s="103"/>
      <c r="Z28" s="101" t="s">
        <v>10</v>
      </c>
      <c r="AA28" s="142">
        <f>Q28/O28</f>
        <v>3.67</v>
      </c>
      <c r="AB28" s="228">
        <f>ROUND(AA28*M28+AA28*N28,2)</f>
        <v>548.89</v>
      </c>
    </row>
    <row r="29" spans="1:28" ht="13.5">
      <c r="A29" s="93"/>
      <c r="B29" s="94"/>
      <c r="C29" s="111"/>
      <c r="D29" s="112"/>
      <c r="E29" s="112"/>
      <c r="F29" s="112"/>
      <c r="G29" s="112"/>
      <c r="H29" s="112"/>
      <c r="I29" s="95"/>
      <c r="J29" s="114"/>
      <c r="K29" s="95"/>
      <c r="L29" s="95"/>
      <c r="M29" s="230"/>
      <c r="N29" s="230"/>
      <c r="O29" s="134">
        <v>1</v>
      </c>
      <c r="P29" s="112"/>
      <c r="Q29" s="143"/>
      <c r="R29" s="143"/>
      <c r="S29" s="143"/>
      <c r="T29" s="112"/>
      <c r="U29" s="112"/>
      <c r="V29" s="112"/>
      <c r="W29" s="112"/>
      <c r="X29" s="112"/>
      <c r="Y29" s="112"/>
      <c r="Z29" s="112"/>
      <c r="AA29" s="139"/>
      <c r="AB29" s="120"/>
    </row>
    <row r="30" spans="1:28" ht="12">
      <c r="A30" s="99"/>
      <c r="B30" s="80" t="s">
        <v>56</v>
      </c>
      <c r="C30" s="141">
        <f>E28</f>
        <v>0.3</v>
      </c>
      <c r="D30" s="101" t="s">
        <v>31</v>
      </c>
      <c r="E30" s="101">
        <f>'土石流時3-1'!K50</f>
        <v>7.41</v>
      </c>
      <c r="F30" s="101" t="s">
        <v>31</v>
      </c>
      <c r="G30" s="101">
        <f>'土石流時3-1'!T11</f>
        <v>0.6</v>
      </c>
      <c r="H30" s="101" t="s">
        <v>268</v>
      </c>
      <c r="I30" s="101">
        <f>I28</f>
        <v>11</v>
      </c>
      <c r="J30" s="101"/>
      <c r="K30" s="101"/>
      <c r="L30" s="79"/>
      <c r="M30" s="227"/>
      <c r="N30" s="227">
        <f>E30*G30*I30*C30</f>
        <v>14.67</v>
      </c>
      <c r="O30" s="100">
        <v>2</v>
      </c>
      <c r="P30" s="101" t="s">
        <v>31</v>
      </c>
      <c r="Q30" s="101">
        <f>I30</f>
        <v>11</v>
      </c>
      <c r="R30" s="101"/>
      <c r="S30" s="101"/>
      <c r="T30" s="79"/>
      <c r="U30" s="103"/>
      <c r="V30" s="103"/>
      <c r="W30" s="103"/>
      <c r="X30" s="103"/>
      <c r="Y30" s="103"/>
      <c r="Z30" s="101" t="s">
        <v>10</v>
      </c>
      <c r="AA30" s="142">
        <f>Q30/O30</f>
        <v>5.5</v>
      </c>
      <c r="AB30" s="228">
        <f>ROUND(AA30*M30+AA30*N30,2)</f>
        <v>80.69</v>
      </c>
    </row>
    <row r="31" spans="1:28" ht="12">
      <c r="A31" s="93"/>
      <c r="B31" s="94"/>
      <c r="C31" s="111"/>
      <c r="D31" s="112"/>
      <c r="E31" s="112"/>
      <c r="F31" s="112"/>
      <c r="G31" s="112"/>
      <c r="H31" s="112"/>
      <c r="I31" s="112"/>
      <c r="J31" s="95"/>
      <c r="K31" s="95"/>
      <c r="L31" s="95"/>
      <c r="M31" s="230"/>
      <c r="N31" s="230"/>
      <c r="O31" s="111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47"/>
      <c r="AB31" s="120"/>
    </row>
    <row r="32" spans="1:28" ht="12">
      <c r="A32" s="88" t="s">
        <v>57</v>
      </c>
      <c r="B32" s="80" t="s">
        <v>58</v>
      </c>
      <c r="C32" s="119"/>
      <c r="D32" s="103"/>
      <c r="E32" s="103"/>
      <c r="F32" s="103"/>
      <c r="G32" s="103"/>
      <c r="H32" s="103"/>
      <c r="I32" s="103"/>
      <c r="J32" s="79"/>
      <c r="K32" s="79"/>
      <c r="L32" s="79"/>
      <c r="M32" s="231"/>
      <c r="N32" s="231"/>
      <c r="O32" s="119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37"/>
      <c r="AB32" s="232"/>
    </row>
    <row r="33" spans="1:28" ht="12">
      <c r="A33" s="93"/>
      <c r="B33" s="94"/>
      <c r="C33" s="111"/>
      <c r="D33" s="112"/>
      <c r="E33" s="112"/>
      <c r="F33" s="112"/>
      <c r="G33" s="112"/>
      <c r="H33" s="112"/>
      <c r="I33" s="112"/>
      <c r="J33" s="95"/>
      <c r="K33" s="95"/>
      <c r="L33" s="95"/>
      <c r="M33" s="230"/>
      <c r="N33" s="230"/>
      <c r="O33" s="134">
        <v>1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47"/>
      <c r="AB33" s="120"/>
    </row>
    <row r="34" spans="1:28" ht="12">
      <c r="A34" s="99"/>
      <c r="B34" s="80" t="s">
        <v>269</v>
      </c>
      <c r="C34" s="141">
        <f>'土石流時3-1'!K49</f>
        <v>19.18</v>
      </c>
      <c r="D34" s="101" t="s">
        <v>31</v>
      </c>
      <c r="E34" s="101">
        <f>G30</f>
        <v>0.6</v>
      </c>
      <c r="F34" s="101" t="s">
        <v>31</v>
      </c>
      <c r="G34" s="101">
        <f>G26</f>
        <v>0.3</v>
      </c>
      <c r="H34" s="101" t="s">
        <v>270</v>
      </c>
      <c r="I34" s="101">
        <f>I30</f>
        <v>11</v>
      </c>
      <c r="J34" s="101"/>
      <c r="K34" s="101"/>
      <c r="L34" s="79"/>
      <c r="M34" s="227">
        <f>E34*G34*I34*C34</f>
        <v>37.98</v>
      </c>
      <c r="N34" s="231"/>
      <c r="O34" s="100">
        <v>2</v>
      </c>
      <c r="P34" s="101" t="s">
        <v>31</v>
      </c>
      <c r="Q34" s="101">
        <f>G34</f>
        <v>0.3</v>
      </c>
      <c r="R34" s="101" t="s">
        <v>271</v>
      </c>
      <c r="S34" s="101">
        <f>I34</f>
        <v>11</v>
      </c>
      <c r="T34" s="101"/>
      <c r="U34" s="101"/>
      <c r="V34" s="79"/>
      <c r="W34" s="103"/>
      <c r="X34" s="103"/>
      <c r="Y34" s="103"/>
      <c r="Z34" s="101" t="s">
        <v>10</v>
      </c>
      <c r="AA34" s="142">
        <f>Q34*S34/O34</f>
        <v>1.65</v>
      </c>
      <c r="AB34" s="228">
        <f>ROUND(AA34*M34+AA34*N34,2)</f>
        <v>62.67</v>
      </c>
    </row>
    <row r="35" spans="1:28" ht="12">
      <c r="A35" s="93"/>
      <c r="B35" s="94"/>
      <c r="C35" s="111"/>
      <c r="D35" s="112"/>
      <c r="E35" s="112"/>
      <c r="F35" s="112"/>
      <c r="G35" s="112"/>
      <c r="H35" s="112"/>
      <c r="I35" s="112"/>
      <c r="J35" s="95"/>
      <c r="K35" s="95"/>
      <c r="L35" s="95"/>
      <c r="M35" s="230"/>
      <c r="N35" s="230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47"/>
      <c r="AB35" s="229"/>
    </row>
    <row r="36" spans="1:28" ht="12">
      <c r="A36" s="88" t="s">
        <v>60</v>
      </c>
      <c r="B36" s="80" t="s">
        <v>61</v>
      </c>
      <c r="C36" s="119"/>
      <c r="D36" s="103"/>
      <c r="E36" s="103"/>
      <c r="F36" s="103"/>
      <c r="G36" s="103"/>
      <c r="H36" s="103"/>
      <c r="I36" s="103"/>
      <c r="J36" s="79"/>
      <c r="K36" s="79"/>
      <c r="L36" s="79"/>
      <c r="M36" s="227"/>
      <c r="N36" s="227"/>
      <c r="O36" s="119"/>
      <c r="P36" s="103"/>
      <c r="Q36" s="103"/>
      <c r="R36" s="103"/>
      <c r="S36" s="103"/>
      <c r="T36" s="233"/>
      <c r="U36" s="233"/>
      <c r="V36" s="233"/>
      <c r="W36" s="233"/>
      <c r="X36" s="103"/>
      <c r="Y36" s="103"/>
      <c r="Z36" s="103"/>
      <c r="AA36" s="137"/>
      <c r="AB36" s="228"/>
    </row>
    <row r="37" spans="1:28" ht="13.5">
      <c r="A37" s="93"/>
      <c r="B37" s="94"/>
      <c r="C37" s="134"/>
      <c r="D37" s="143"/>
      <c r="E37" s="199">
        <f>C34</f>
        <v>19.18</v>
      </c>
      <c r="F37" s="143"/>
      <c r="G37" s="143"/>
      <c r="H37" s="112"/>
      <c r="I37" s="114">
        <v>2</v>
      </c>
      <c r="J37" s="95"/>
      <c r="K37" s="95"/>
      <c r="L37" s="95"/>
      <c r="M37" s="230"/>
      <c r="N37" s="230"/>
      <c r="O37" s="111"/>
      <c r="P37" s="143"/>
      <c r="Q37" s="143">
        <f>G38</f>
        <v>0.6</v>
      </c>
      <c r="R37" s="143"/>
      <c r="S37" s="138"/>
      <c r="T37" s="129"/>
      <c r="U37" s="129"/>
      <c r="V37" s="103"/>
      <c r="W37" s="103"/>
      <c r="X37" s="112"/>
      <c r="Y37" s="112"/>
      <c r="Z37" s="112"/>
      <c r="AA37" s="147"/>
      <c r="AB37" s="120"/>
    </row>
    <row r="38" spans="1:28" ht="12">
      <c r="A38" s="99"/>
      <c r="B38" s="80" t="s">
        <v>61</v>
      </c>
      <c r="C38" s="140">
        <v>1</v>
      </c>
      <c r="D38" s="101" t="s">
        <v>31</v>
      </c>
      <c r="E38" s="199">
        <f>'土石流時3-1'!K53</f>
        <v>9.81</v>
      </c>
      <c r="F38" s="101" t="s">
        <v>31</v>
      </c>
      <c r="G38" s="101">
        <f>E34</f>
        <v>0.6</v>
      </c>
      <c r="H38" s="101" t="s">
        <v>31</v>
      </c>
      <c r="I38" s="101">
        <f>'土石流時3-1'!K45</f>
        <v>4</v>
      </c>
      <c r="J38" s="79"/>
      <c r="K38" s="79"/>
      <c r="L38" s="79"/>
      <c r="M38" s="231"/>
      <c r="N38" s="227">
        <f>E37/E38*G38*I38^I37*C38</f>
        <v>18.77</v>
      </c>
      <c r="O38" s="109">
        <f>S34</f>
        <v>11</v>
      </c>
      <c r="P38" s="79" t="s">
        <v>272</v>
      </c>
      <c r="Q38" s="95">
        <v>2</v>
      </c>
      <c r="R38" s="101"/>
      <c r="S38" s="101"/>
      <c r="T38" s="129"/>
      <c r="U38" s="129"/>
      <c r="V38" s="103"/>
      <c r="W38" s="103"/>
      <c r="X38" s="103"/>
      <c r="Y38" s="103"/>
      <c r="Z38" s="101" t="s">
        <v>10</v>
      </c>
      <c r="AA38" s="142">
        <f>O38+Q37/Q38</f>
        <v>11.3</v>
      </c>
      <c r="AB38" s="228">
        <f>ROUND(AA38*M38+AA38*N38,2)</f>
        <v>212.1</v>
      </c>
    </row>
    <row r="39" spans="1:28" ht="12">
      <c r="A39" s="93"/>
      <c r="B39" s="94"/>
      <c r="C39" s="111"/>
      <c r="D39" s="112"/>
      <c r="E39" s="112"/>
      <c r="F39" s="112"/>
      <c r="G39" s="112"/>
      <c r="H39" s="112"/>
      <c r="I39" s="95"/>
      <c r="J39" s="95"/>
      <c r="K39" s="95"/>
      <c r="L39" s="112"/>
      <c r="M39" s="230"/>
      <c r="N39" s="230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47"/>
      <c r="AB39" s="120"/>
    </row>
    <row r="40" spans="1:28" ht="12.75" thickBot="1">
      <c r="A40" s="150" t="s">
        <v>43</v>
      </c>
      <c r="B40" s="122"/>
      <c r="C40" s="123"/>
      <c r="D40" s="124"/>
      <c r="E40" s="124"/>
      <c r="F40" s="124"/>
      <c r="G40" s="124"/>
      <c r="H40" s="124"/>
      <c r="I40" s="125"/>
      <c r="J40" s="125"/>
      <c r="K40" s="125"/>
      <c r="L40" s="124"/>
      <c r="M40" s="126">
        <f>SUM(M6:M38)</f>
        <v>1868.7</v>
      </c>
      <c r="N40" s="126">
        <f>SUM(N6:N38)</f>
        <v>972.77</v>
      </c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52"/>
      <c r="AB40" s="234">
        <f>SUM(AB6:AB38)</f>
        <v>10932.76</v>
      </c>
    </row>
    <row r="41" spans="1:28" ht="12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6"/>
      <c r="N41" s="236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7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pans="2:4" ht="12" customHeight="1">
      <c r="B52" s="238"/>
      <c r="C52" s="238"/>
      <c r="D52" s="238"/>
    </row>
    <row r="53" ht="12" customHeight="1"/>
    <row r="54" ht="12" customHeight="1"/>
    <row r="55" ht="12" customHeight="1"/>
    <row r="56" ht="12">
      <c r="AC56" s="239"/>
    </row>
    <row r="57" ht="12" customHeight="1"/>
    <row r="58" ht="12">
      <c r="AC58" s="239"/>
    </row>
    <row r="59" ht="12" customHeight="1"/>
    <row r="60" ht="12">
      <c r="AC60" s="239"/>
    </row>
  </sheetData>
  <sheetProtection/>
  <mergeCells count="4">
    <mergeCell ref="A3:A4"/>
    <mergeCell ref="B3:B4"/>
    <mergeCell ref="E3:J4"/>
    <mergeCell ref="Q3:Z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L19" sqref="L19"/>
    </sheetView>
  </sheetViews>
  <sheetFormatPr defaultColWidth="9.50390625" defaultRowHeight="13.5"/>
  <cols>
    <col min="1" max="1" width="9.50390625" style="14" customWidth="1"/>
    <col min="2" max="2" width="8.625" style="14" customWidth="1"/>
    <col min="3" max="3" width="4.125" style="14" customWidth="1"/>
    <col min="4" max="4" width="9.75390625" style="14" customWidth="1"/>
    <col min="5" max="5" width="4.125" style="14" customWidth="1"/>
    <col min="6" max="6" width="7.625" style="14" customWidth="1"/>
    <col min="7" max="7" width="6.00390625" style="14" customWidth="1"/>
    <col min="8" max="8" width="7.625" style="14" customWidth="1"/>
    <col min="9" max="9" width="4.125" style="14" customWidth="1"/>
    <col min="10" max="10" width="8.625" style="14" customWidth="1"/>
    <col min="11" max="11" width="6.00390625" style="14" customWidth="1"/>
    <col min="12" max="12" width="7.625" style="14" customWidth="1"/>
    <col min="13" max="13" width="4.125" style="14" customWidth="1"/>
    <col min="14" max="14" width="7.625" style="14" customWidth="1"/>
    <col min="15" max="15" width="4.125" style="14" customWidth="1"/>
    <col min="16" max="16" width="7.625" style="14" customWidth="1"/>
    <col min="17" max="17" width="4.125" style="14" customWidth="1"/>
    <col min="18" max="18" width="7.625" style="14" customWidth="1"/>
    <col min="19" max="19" width="4.125" style="14" customWidth="1"/>
    <col min="20" max="20" width="7.625" style="14" customWidth="1"/>
    <col min="21" max="21" width="4.125" style="14" customWidth="1"/>
    <col min="22" max="24" width="9.50390625" style="14" customWidth="1"/>
    <col min="25" max="25" width="5.875" style="14" customWidth="1"/>
    <col min="26" max="16384" width="9.50390625" style="14" customWidth="1"/>
  </cols>
  <sheetData>
    <row r="1" spans="1:18" ht="16.5" customHeight="1">
      <c r="A1" s="17" t="s">
        <v>273</v>
      </c>
      <c r="R1" s="21"/>
    </row>
    <row r="2" ht="16.5" customHeight="1">
      <c r="A2" s="12"/>
    </row>
    <row r="3" spans="1:19" ht="16.5" customHeight="1">
      <c r="A3" s="316" t="s">
        <v>274</v>
      </c>
      <c r="B3" s="181" t="s">
        <v>275</v>
      </c>
      <c r="C3" s="315" t="s">
        <v>10</v>
      </c>
      <c r="D3" s="183">
        <f>'土石流時3-2'!AB40</f>
        <v>10932.76</v>
      </c>
      <c r="E3" s="315" t="s">
        <v>10</v>
      </c>
      <c r="F3" s="315">
        <f>D3/D4</f>
        <v>5.85</v>
      </c>
      <c r="G3" s="314" t="s">
        <v>11</v>
      </c>
      <c r="H3" s="129"/>
      <c r="I3" s="129"/>
      <c r="J3" s="129"/>
      <c r="K3" s="129"/>
      <c r="S3" s="21"/>
    </row>
    <row r="4" spans="1:19" ht="16.5" customHeight="1">
      <c r="A4" s="316"/>
      <c r="B4" s="185" t="s">
        <v>276</v>
      </c>
      <c r="C4" s="315"/>
      <c r="D4" s="186">
        <f>'土石流時3-2'!M40</f>
        <v>1868.7</v>
      </c>
      <c r="E4" s="315"/>
      <c r="F4" s="315"/>
      <c r="G4" s="314"/>
      <c r="H4" s="129"/>
      <c r="I4" s="129"/>
      <c r="J4" s="129"/>
      <c r="K4" s="129"/>
      <c r="S4" s="21"/>
    </row>
    <row r="5" spans="1:26" ht="16.5" customHeight="1">
      <c r="A5" s="12"/>
      <c r="B5" s="129"/>
      <c r="C5" s="129"/>
      <c r="D5" s="129"/>
      <c r="E5" s="129"/>
      <c r="F5" s="129"/>
      <c r="G5" s="129"/>
      <c r="H5" s="129"/>
      <c r="I5" s="129"/>
      <c r="J5" s="129"/>
      <c r="K5" s="129"/>
      <c r="X5" s="21"/>
      <c r="Y5" s="20"/>
      <c r="Z5" s="20"/>
    </row>
    <row r="6" spans="1:25" ht="16.5" customHeight="1">
      <c r="A6" s="12"/>
      <c r="B6" s="184">
        <v>0</v>
      </c>
      <c r="C6" s="191" t="s">
        <v>122</v>
      </c>
      <c r="D6" s="201" t="s">
        <v>135</v>
      </c>
      <c r="E6" s="191" t="s">
        <v>122</v>
      </c>
      <c r="F6" s="190" t="s">
        <v>137</v>
      </c>
      <c r="G6" s="129"/>
      <c r="H6" s="129"/>
      <c r="I6" s="129"/>
      <c r="J6" s="129"/>
      <c r="K6" s="129"/>
      <c r="Y6" s="178"/>
    </row>
    <row r="7" spans="1:18" ht="16.5" customHeight="1">
      <c r="A7" s="12"/>
      <c r="B7" s="184"/>
      <c r="C7" s="191"/>
      <c r="D7" s="201"/>
      <c r="E7" s="191"/>
      <c r="F7" s="190"/>
      <c r="G7" s="129"/>
      <c r="H7" s="129"/>
      <c r="I7" s="182"/>
      <c r="J7" s="190"/>
      <c r="K7" s="182"/>
      <c r="L7" s="177"/>
      <c r="M7" s="174"/>
      <c r="O7" s="174"/>
      <c r="P7" s="175"/>
      <c r="Q7" s="73"/>
      <c r="R7" s="73"/>
    </row>
    <row r="8" spans="1:18" ht="16.5" customHeight="1">
      <c r="A8" s="12"/>
      <c r="B8" s="184">
        <v>0</v>
      </c>
      <c r="C8" s="191" t="str">
        <f>IF(B8&lt;=D8,"≦","＞")</f>
        <v>≦</v>
      </c>
      <c r="D8" s="182">
        <f>F3</f>
        <v>5.85</v>
      </c>
      <c r="E8" s="191" t="str">
        <f>IF(D8&lt;=F8,"≦","＞")</f>
        <v>≦</v>
      </c>
      <c r="F8" s="190">
        <f>'土石流時3-1'!F39</f>
        <v>8.5</v>
      </c>
      <c r="G8" s="184" t="str">
        <f>IF(AND(B8&lt;=D8,D8&lt;=F8),"OK","OUT")</f>
        <v>OK</v>
      </c>
      <c r="H8" s="184"/>
      <c r="I8" s="184"/>
      <c r="J8" s="129"/>
      <c r="K8" s="129"/>
      <c r="M8" s="174"/>
      <c r="O8" s="174"/>
      <c r="P8" s="175"/>
      <c r="Q8" s="73"/>
      <c r="R8" s="73"/>
    </row>
    <row r="9" spans="1:18" ht="16.5" customHeight="1">
      <c r="A9" s="12"/>
      <c r="C9" s="176"/>
      <c r="D9" s="176"/>
      <c r="E9" s="176"/>
      <c r="I9" s="174"/>
      <c r="J9" s="175"/>
      <c r="K9" s="174"/>
      <c r="L9" s="177"/>
      <c r="M9" s="174"/>
      <c r="O9" s="174"/>
      <c r="P9" s="175"/>
      <c r="Q9" s="73"/>
      <c r="R9" s="73"/>
    </row>
    <row r="10" spans="1:18" ht="16.5" customHeight="1">
      <c r="A10" s="12"/>
      <c r="C10" s="15" t="s">
        <v>277</v>
      </c>
      <c r="D10" s="17" t="s">
        <v>140</v>
      </c>
      <c r="O10" s="174"/>
      <c r="P10" s="175"/>
      <c r="Q10" s="73"/>
      <c r="R10" s="73"/>
    </row>
    <row r="11" spans="3:4" ht="16.5" customHeight="1">
      <c r="C11" s="15" t="s">
        <v>278</v>
      </c>
      <c r="D11" s="17" t="s">
        <v>79</v>
      </c>
    </row>
    <row r="12" spans="1:18" ht="16.5" customHeight="1">
      <c r="A12" s="12"/>
      <c r="C12" s="15" t="s">
        <v>279</v>
      </c>
      <c r="D12" s="17" t="s">
        <v>143</v>
      </c>
      <c r="O12" s="174"/>
      <c r="P12" s="175"/>
      <c r="Q12" s="73"/>
      <c r="R12" s="73"/>
    </row>
    <row r="13" spans="3:18" ht="16.5" customHeight="1">
      <c r="C13" s="15" t="s">
        <v>280</v>
      </c>
      <c r="D13" s="17" t="s">
        <v>145</v>
      </c>
      <c r="O13" s="174"/>
      <c r="P13" s="175"/>
      <c r="Q13" s="73"/>
      <c r="R13" s="73"/>
    </row>
    <row r="14" ht="16.5" customHeight="1">
      <c r="A14" s="12"/>
    </row>
    <row r="15" ht="16.5" customHeight="1">
      <c r="A15" s="179" t="s">
        <v>281</v>
      </c>
    </row>
    <row r="16" ht="16.5" customHeight="1">
      <c r="A16" s="12"/>
    </row>
    <row r="17" spans="2:10" ht="16.5" customHeight="1">
      <c r="B17" s="316" t="s">
        <v>316</v>
      </c>
      <c r="C17" s="317" t="s">
        <v>282</v>
      </c>
      <c r="D17" s="187" t="s">
        <v>283</v>
      </c>
      <c r="E17" s="187" t="s">
        <v>284</v>
      </c>
      <c r="F17" s="187" t="s">
        <v>285</v>
      </c>
      <c r="G17" s="187" t="s">
        <v>286</v>
      </c>
      <c r="H17" s="187" t="s">
        <v>287</v>
      </c>
      <c r="I17" s="187" t="s">
        <v>284</v>
      </c>
      <c r="J17" s="187" t="s">
        <v>288</v>
      </c>
    </row>
    <row r="18" spans="2:20" ht="16.5" customHeight="1">
      <c r="B18" s="316"/>
      <c r="C18" s="317"/>
      <c r="D18" s="318" t="s">
        <v>289</v>
      </c>
      <c r="E18" s="318"/>
      <c r="F18" s="318"/>
      <c r="G18" s="318"/>
      <c r="H18" s="318"/>
      <c r="I18" s="318"/>
      <c r="J18" s="318"/>
      <c r="S18" s="15"/>
      <c r="T18" s="21"/>
    </row>
    <row r="19" spans="1:10" ht="16.5" customHeight="1">
      <c r="A19" s="173"/>
      <c r="B19" s="20"/>
      <c r="C19" s="20"/>
      <c r="D19" s="192"/>
      <c r="E19" s="129"/>
      <c r="F19" s="129"/>
      <c r="G19" s="129"/>
      <c r="H19" s="129"/>
      <c r="I19" s="129"/>
      <c r="J19" s="129"/>
    </row>
    <row r="20" spans="1:10" ht="16.5" customHeight="1">
      <c r="A20" s="173"/>
      <c r="B20" s="316"/>
      <c r="C20" s="317" t="s">
        <v>282</v>
      </c>
      <c r="D20" s="189">
        <f>'土石流時3-1'!K52</f>
        <v>0.7</v>
      </c>
      <c r="E20" s="187" t="s">
        <v>290</v>
      </c>
      <c r="F20" s="189">
        <f>D4</f>
        <v>1868.7</v>
      </c>
      <c r="G20" s="187" t="s">
        <v>272</v>
      </c>
      <c r="H20" s="193">
        <f>'土石流時3-1'!K55</f>
        <v>330</v>
      </c>
      <c r="I20" s="187" t="s">
        <v>291</v>
      </c>
      <c r="J20" s="189">
        <f>F8</f>
        <v>8.5</v>
      </c>
    </row>
    <row r="21" spans="1:10" ht="16.5" customHeight="1">
      <c r="A21" s="173"/>
      <c r="B21" s="316"/>
      <c r="C21" s="317"/>
      <c r="D21" s="319">
        <f>'土石流時3-2'!N40</f>
        <v>972.77</v>
      </c>
      <c r="E21" s="319"/>
      <c r="F21" s="319"/>
      <c r="G21" s="319"/>
      <c r="H21" s="319"/>
      <c r="I21" s="319"/>
      <c r="J21" s="319"/>
    </row>
    <row r="22" spans="1:10" ht="16.5" customHeight="1">
      <c r="A22" s="173"/>
      <c r="B22" s="20"/>
      <c r="C22" s="20"/>
      <c r="D22" s="192"/>
      <c r="E22" s="129"/>
      <c r="F22" s="129"/>
      <c r="G22" s="129"/>
      <c r="H22" s="129"/>
      <c r="I22" s="129"/>
      <c r="J22" s="129"/>
    </row>
    <row r="23" spans="1:10" ht="16.5" customHeight="1">
      <c r="A23" s="173"/>
      <c r="B23" s="20"/>
      <c r="C23" s="14" t="s">
        <v>292</v>
      </c>
      <c r="D23" s="196">
        <f>ROUNDDOWN((D20*F20+H20*J20)/D21,2)</f>
        <v>4.22</v>
      </c>
      <c r="E23" s="192" t="str">
        <f>IF(D23&gt;=F23,"≧","＜")</f>
        <v>≧</v>
      </c>
      <c r="F23" s="194">
        <f>'土石流時3-1'!K44</f>
        <v>4</v>
      </c>
      <c r="G23" s="129"/>
      <c r="H23" s="129" t="str">
        <f>IF(D23&lt;F23,"OUT","OK")</f>
        <v>OK</v>
      </c>
      <c r="I23" s="129"/>
      <c r="J23" s="129"/>
    </row>
    <row r="24" spans="3:4" ht="16.5" customHeight="1">
      <c r="C24" s="73"/>
      <c r="D24" s="73"/>
    </row>
    <row r="25" spans="3:4" ht="16.5" customHeight="1">
      <c r="C25" s="18" t="s">
        <v>293</v>
      </c>
      <c r="D25" s="172" t="s">
        <v>294</v>
      </c>
    </row>
    <row r="26" spans="1:4" ht="16.5" customHeight="1">
      <c r="A26" s="176"/>
      <c r="B26" s="73"/>
      <c r="C26" s="18" t="s">
        <v>295</v>
      </c>
      <c r="D26" s="172" t="s">
        <v>8</v>
      </c>
    </row>
    <row r="27" spans="3:18" ht="16.5" customHeight="1">
      <c r="C27" s="15" t="s">
        <v>296</v>
      </c>
      <c r="D27" s="17" t="s">
        <v>145</v>
      </c>
      <c r="O27" s="174"/>
      <c r="P27" s="175"/>
      <c r="Q27" s="73"/>
      <c r="R27" s="73"/>
    </row>
    <row r="28" spans="3:18" ht="16.5" customHeight="1">
      <c r="C28" s="15" t="s">
        <v>297</v>
      </c>
      <c r="D28" s="17" t="s">
        <v>164</v>
      </c>
      <c r="O28" s="174"/>
      <c r="P28" s="175"/>
      <c r="Q28" s="73"/>
      <c r="R28" s="73"/>
    </row>
    <row r="29" spans="3:4" ht="16.5" customHeight="1">
      <c r="C29" s="18" t="s">
        <v>298</v>
      </c>
      <c r="D29" s="172" t="s">
        <v>166</v>
      </c>
    </row>
    <row r="30" spans="3:4" ht="16.5" customHeight="1">
      <c r="C30" s="18"/>
      <c r="D30" s="172" t="s">
        <v>167</v>
      </c>
    </row>
    <row r="31" spans="1:4" ht="16.5" customHeight="1">
      <c r="A31" s="12"/>
      <c r="C31" s="18" t="s">
        <v>299</v>
      </c>
      <c r="D31" s="172" t="s">
        <v>169</v>
      </c>
    </row>
    <row r="32" spans="1:5" ht="16.5" customHeight="1">
      <c r="A32" s="12"/>
      <c r="D32" s="18"/>
      <c r="E32" s="172"/>
    </row>
    <row r="33" spans="1:5" ht="16.5" customHeight="1">
      <c r="A33" s="12"/>
      <c r="D33" s="18"/>
      <c r="E33" s="172"/>
    </row>
    <row r="34" spans="1:5" ht="16.5" customHeight="1">
      <c r="A34" s="12"/>
      <c r="D34" s="18"/>
      <c r="E34" s="172"/>
    </row>
    <row r="35" spans="1:5" ht="16.5" customHeight="1">
      <c r="A35" s="12"/>
      <c r="D35" s="18"/>
      <c r="E35" s="172"/>
    </row>
    <row r="36" spans="1:5" ht="16.5" customHeight="1">
      <c r="A36" s="12"/>
      <c r="D36" s="18"/>
      <c r="E36" s="172"/>
    </row>
    <row r="37" spans="1:5" ht="16.5" customHeight="1">
      <c r="A37" s="12"/>
      <c r="D37" s="18"/>
      <c r="E37" s="172"/>
    </row>
    <row r="38" spans="1:5" ht="16.5" customHeight="1">
      <c r="A38" s="12"/>
      <c r="D38" s="18"/>
      <c r="E38" s="172"/>
    </row>
    <row r="39" spans="1:5" ht="16.5" customHeight="1">
      <c r="A39" s="12"/>
      <c r="D39" s="18"/>
      <c r="E39" s="172"/>
    </row>
    <row r="40" spans="1:5" ht="16.5" customHeight="1">
      <c r="A40" s="12"/>
      <c r="D40" s="18"/>
      <c r="E40" s="172"/>
    </row>
    <row r="41" spans="1:5" ht="16.5" customHeight="1">
      <c r="A41" s="12"/>
      <c r="D41" s="18"/>
      <c r="E41" s="172"/>
    </row>
    <row r="42" spans="1:5" ht="16.5" customHeight="1">
      <c r="A42" s="12"/>
      <c r="D42" s="18"/>
      <c r="E42" s="172"/>
    </row>
    <row r="43" spans="1:5" ht="16.5" customHeight="1">
      <c r="A43" s="12"/>
      <c r="D43" s="18"/>
      <c r="E43" s="172"/>
    </row>
    <row r="44" spans="1:5" ht="16.5" customHeight="1">
      <c r="A44" s="12"/>
      <c r="D44" s="18"/>
      <c r="E44" s="172"/>
    </row>
    <row r="45" spans="1:5" ht="16.5" customHeight="1">
      <c r="A45" s="12"/>
      <c r="D45" s="18"/>
      <c r="E45" s="172"/>
    </row>
    <row r="46" spans="1:5" ht="16.5" customHeight="1">
      <c r="A46" s="12"/>
      <c r="D46" s="18"/>
      <c r="E46" s="172"/>
    </row>
    <row r="47" spans="1:21" ht="16.5" customHeight="1">
      <c r="A47" s="179" t="s">
        <v>123</v>
      </c>
      <c r="U47" s="21"/>
    </row>
    <row r="48" spans="1:21" ht="16.5" customHeight="1">
      <c r="A48" s="179"/>
      <c r="U48" s="21"/>
    </row>
    <row r="49" spans="1:18" ht="16.5" customHeight="1">
      <c r="A49" s="316" t="s">
        <v>13</v>
      </c>
      <c r="B49" s="320" t="s">
        <v>300</v>
      </c>
      <c r="C49" s="314" t="s">
        <v>14</v>
      </c>
      <c r="D49" s="187" t="s">
        <v>301</v>
      </c>
      <c r="E49" s="315" t="s">
        <v>10</v>
      </c>
      <c r="F49" s="321">
        <f>F3</f>
        <v>5.85</v>
      </c>
      <c r="G49" s="314" t="s">
        <v>14</v>
      </c>
      <c r="H49" s="189">
        <f>F8</f>
        <v>8.5</v>
      </c>
      <c r="I49" s="315" t="s">
        <v>10</v>
      </c>
      <c r="J49" s="321">
        <f>F49-H49/H50</f>
        <v>1.6</v>
      </c>
      <c r="K49" s="314" t="s">
        <v>11</v>
      </c>
      <c r="O49" s="174"/>
      <c r="P49" s="175"/>
      <c r="Q49" s="73"/>
      <c r="R49" s="73"/>
    </row>
    <row r="50" spans="1:18" ht="16.5" customHeight="1">
      <c r="A50" s="316"/>
      <c r="B50" s="320"/>
      <c r="C50" s="314"/>
      <c r="D50" s="129">
        <v>2</v>
      </c>
      <c r="E50" s="315"/>
      <c r="F50" s="321"/>
      <c r="G50" s="314"/>
      <c r="H50" s="129">
        <v>2</v>
      </c>
      <c r="I50" s="315"/>
      <c r="J50" s="321"/>
      <c r="K50" s="314"/>
      <c r="O50" s="174"/>
      <c r="P50" s="175"/>
      <c r="Q50" s="73"/>
      <c r="R50" s="73"/>
    </row>
    <row r="51" spans="1:9" ht="16.5" customHeight="1">
      <c r="A51" s="12"/>
      <c r="I51" s="18"/>
    </row>
    <row r="52" spans="1:16" ht="16.5" customHeight="1">
      <c r="A52" s="322" t="s">
        <v>302</v>
      </c>
      <c r="B52" s="181" t="s">
        <v>285</v>
      </c>
      <c r="C52" s="314" t="s">
        <v>16</v>
      </c>
      <c r="D52" s="314">
        <v>1</v>
      </c>
      <c r="E52" s="314" t="s">
        <v>303</v>
      </c>
      <c r="F52" s="187">
        <v>6</v>
      </c>
      <c r="G52" s="187" t="s">
        <v>18</v>
      </c>
      <c r="H52" s="187" t="s">
        <v>19</v>
      </c>
      <c r="I52" s="314" t="s">
        <v>20</v>
      </c>
      <c r="J52" s="129"/>
      <c r="P52" s="65"/>
    </row>
    <row r="53" spans="1:16" ht="16.5" customHeight="1">
      <c r="A53" s="322"/>
      <c r="B53" s="192" t="s">
        <v>304</v>
      </c>
      <c r="C53" s="314"/>
      <c r="D53" s="314"/>
      <c r="E53" s="314"/>
      <c r="F53" s="312" t="s">
        <v>304</v>
      </c>
      <c r="G53" s="312"/>
      <c r="H53" s="312"/>
      <c r="I53" s="314"/>
      <c r="J53" s="129"/>
      <c r="P53" s="65"/>
    </row>
    <row r="54" spans="1:16" ht="16.5" customHeight="1">
      <c r="A54" s="12"/>
      <c r="B54" s="129"/>
      <c r="C54" s="129"/>
      <c r="D54" s="129"/>
      <c r="E54" s="129"/>
      <c r="F54" s="129"/>
      <c r="G54" s="129"/>
      <c r="H54" s="129"/>
      <c r="I54" s="129"/>
      <c r="J54" s="129"/>
      <c r="P54" s="65"/>
    </row>
    <row r="55" spans="1:16" ht="16.5" customHeight="1">
      <c r="A55" s="313" t="s">
        <v>305</v>
      </c>
      <c r="B55" s="183">
        <f>B61</f>
        <v>1868.7</v>
      </c>
      <c r="C55" s="314" t="s">
        <v>16</v>
      </c>
      <c r="D55" s="314">
        <v>1</v>
      </c>
      <c r="E55" s="314" t="s">
        <v>306</v>
      </c>
      <c r="F55" s="187">
        <v>6</v>
      </c>
      <c r="G55" s="187" t="s">
        <v>18</v>
      </c>
      <c r="H55" s="189">
        <f>H61</f>
        <v>1.6</v>
      </c>
      <c r="I55" s="314" t="s">
        <v>21</v>
      </c>
      <c r="J55" s="321">
        <f>B55/B56*(D55-F55*H55/F56)</f>
        <v>-28.45</v>
      </c>
      <c r="K55" s="323" t="s">
        <v>307</v>
      </c>
      <c r="L55" s="323"/>
      <c r="P55" s="65"/>
    </row>
    <row r="56" spans="1:16" ht="16.5" customHeight="1">
      <c r="A56" s="313"/>
      <c r="B56" s="195">
        <f>H49</f>
        <v>8.5</v>
      </c>
      <c r="C56" s="314"/>
      <c r="D56" s="314"/>
      <c r="E56" s="314"/>
      <c r="F56" s="324">
        <f>B56</f>
        <v>8.5</v>
      </c>
      <c r="G56" s="324"/>
      <c r="H56" s="324"/>
      <c r="I56" s="314"/>
      <c r="J56" s="321"/>
      <c r="K56" s="323"/>
      <c r="L56" s="323"/>
      <c r="P56" s="65"/>
    </row>
    <row r="57" spans="1:16" ht="16.5" customHeight="1">
      <c r="A57" s="18"/>
      <c r="B57" s="195"/>
      <c r="C57" s="184"/>
      <c r="D57" s="184"/>
      <c r="E57" s="184"/>
      <c r="F57" s="196"/>
      <c r="G57" s="196"/>
      <c r="H57" s="196"/>
      <c r="I57" s="184"/>
      <c r="J57" s="188"/>
      <c r="K57" s="73"/>
      <c r="L57" s="169"/>
      <c r="P57" s="65"/>
    </row>
    <row r="58" spans="1:10" ht="16.5" customHeight="1">
      <c r="A58" s="322" t="s">
        <v>308</v>
      </c>
      <c r="B58" s="181" t="s">
        <v>309</v>
      </c>
      <c r="C58" s="314" t="s">
        <v>16</v>
      </c>
      <c r="D58" s="314">
        <v>1</v>
      </c>
      <c r="E58" s="314" t="s">
        <v>17</v>
      </c>
      <c r="F58" s="187">
        <v>6</v>
      </c>
      <c r="G58" s="187" t="s">
        <v>18</v>
      </c>
      <c r="H58" s="187" t="s">
        <v>19</v>
      </c>
      <c r="I58" s="314" t="s">
        <v>20</v>
      </c>
      <c r="J58" s="129"/>
    </row>
    <row r="59" spans="1:10" ht="16.5" customHeight="1">
      <c r="A59" s="322"/>
      <c r="B59" s="192" t="s">
        <v>310</v>
      </c>
      <c r="C59" s="314"/>
      <c r="D59" s="314"/>
      <c r="E59" s="314"/>
      <c r="F59" s="312" t="s">
        <v>310</v>
      </c>
      <c r="G59" s="312"/>
      <c r="H59" s="312"/>
      <c r="I59" s="314"/>
      <c r="J59" s="129"/>
    </row>
    <row r="60" spans="1:10" ht="16.5" customHeight="1">
      <c r="A60" s="12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2" ht="16.5" customHeight="1">
      <c r="A61" s="313" t="s">
        <v>311</v>
      </c>
      <c r="B61" s="183">
        <f>D4</f>
        <v>1868.7</v>
      </c>
      <c r="C61" s="314" t="s">
        <v>16</v>
      </c>
      <c r="D61" s="314">
        <v>1</v>
      </c>
      <c r="E61" s="314" t="s">
        <v>17</v>
      </c>
      <c r="F61" s="187">
        <v>6</v>
      </c>
      <c r="G61" s="187" t="s">
        <v>18</v>
      </c>
      <c r="H61" s="189">
        <f>J49</f>
        <v>1.6</v>
      </c>
      <c r="I61" s="314" t="s">
        <v>21</v>
      </c>
      <c r="J61" s="321">
        <f>B61/B62*(D61+F61*H61/F62)</f>
        <v>468.14</v>
      </c>
      <c r="K61" s="323" t="s">
        <v>307</v>
      </c>
      <c r="L61" s="323"/>
    </row>
    <row r="62" spans="1:12" ht="16.5" customHeight="1">
      <c r="A62" s="313"/>
      <c r="B62" s="197">
        <f>B56</f>
        <v>8.5</v>
      </c>
      <c r="C62" s="314"/>
      <c r="D62" s="314"/>
      <c r="E62" s="314"/>
      <c r="F62" s="324">
        <f>B62</f>
        <v>8.5</v>
      </c>
      <c r="G62" s="324"/>
      <c r="H62" s="324"/>
      <c r="I62" s="314"/>
      <c r="J62" s="321"/>
      <c r="K62" s="323"/>
      <c r="L62" s="323"/>
    </row>
    <row r="63" spans="1:12" ht="16.5" customHeight="1">
      <c r="A63" s="18"/>
      <c r="B63" s="171"/>
      <c r="C63" s="73"/>
      <c r="D63" s="73"/>
      <c r="E63" s="73"/>
      <c r="G63" s="65"/>
      <c r="H63" s="65"/>
      <c r="I63" s="73"/>
      <c r="J63" s="170"/>
      <c r="K63" s="73"/>
      <c r="L63" s="169"/>
    </row>
    <row r="64" spans="1:12" ht="16.5" customHeight="1">
      <c r="A64" s="18"/>
      <c r="C64" s="18" t="s">
        <v>179</v>
      </c>
      <c r="D64" s="172" t="s">
        <v>181</v>
      </c>
      <c r="G64" s="73"/>
      <c r="I64" s="73"/>
      <c r="J64" s="170"/>
      <c r="K64" s="73"/>
      <c r="L64" s="169"/>
    </row>
    <row r="65" spans="1:12" ht="16.5" customHeight="1">
      <c r="A65" s="18"/>
      <c r="B65" s="73"/>
      <c r="C65" s="18" t="s">
        <v>182</v>
      </c>
      <c r="D65" s="172" t="s">
        <v>184</v>
      </c>
      <c r="G65" s="73"/>
      <c r="I65" s="73"/>
      <c r="J65" s="170"/>
      <c r="K65" s="73"/>
      <c r="L65" s="169"/>
    </row>
    <row r="66" spans="1:12" ht="16.5" customHeight="1">
      <c r="A66" s="18"/>
      <c r="C66" s="18" t="s">
        <v>15</v>
      </c>
      <c r="D66" s="16" t="s">
        <v>185</v>
      </c>
      <c r="I66" s="73"/>
      <c r="J66" s="170"/>
      <c r="K66" s="73"/>
      <c r="L66" s="169"/>
    </row>
    <row r="67" spans="1:12" ht="16.5" customHeight="1">
      <c r="A67" s="18"/>
      <c r="B67" s="171"/>
      <c r="C67" s="73"/>
      <c r="D67" s="73"/>
      <c r="E67" s="73"/>
      <c r="G67" s="65"/>
      <c r="H67" s="65"/>
      <c r="I67" s="73"/>
      <c r="J67" s="170"/>
      <c r="K67" s="73"/>
      <c r="L67" s="169"/>
    </row>
    <row r="68" spans="1:12" ht="16.5" customHeight="1">
      <c r="A68" s="18"/>
      <c r="B68" s="253" t="s">
        <v>186</v>
      </c>
      <c r="C68" s="14" t="s">
        <v>6</v>
      </c>
      <c r="D68" s="65">
        <f>J61</f>
        <v>468.14</v>
      </c>
      <c r="E68" s="192" t="str">
        <f>IF(D68&gt;=G68,"＞","≦")</f>
        <v>≦</v>
      </c>
      <c r="F68" s="180" t="s">
        <v>312</v>
      </c>
      <c r="G68" s="198">
        <f>'土石流時3-1'!K43</f>
        <v>1177</v>
      </c>
      <c r="H68" s="129" t="s">
        <v>307</v>
      </c>
      <c r="I68" s="129" t="str">
        <f>IF(G68&lt;D68,"OUT","OK")</f>
        <v>OK</v>
      </c>
      <c r="J68" s="16" t="s">
        <v>190</v>
      </c>
      <c r="K68" s="73"/>
      <c r="L68" s="169"/>
    </row>
    <row r="69" spans="1:12" ht="16.5" customHeight="1">
      <c r="A69" s="18"/>
      <c r="B69" s="171"/>
      <c r="G69" s="65"/>
      <c r="H69" s="65"/>
      <c r="I69" s="73"/>
      <c r="J69" s="203"/>
      <c r="K69" s="73"/>
      <c r="L69" s="169"/>
    </row>
    <row r="70" spans="1:12" ht="16.5" customHeight="1">
      <c r="A70" s="18"/>
      <c r="B70" s="253" t="s">
        <v>313</v>
      </c>
      <c r="C70" s="14" t="s">
        <v>314</v>
      </c>
      <c r="D70" s="65">
        <f>J61</f>
        <v>468.14</v>
      </c>
      <c r="E70" s="192" t="str">
        <f>IF(D70&gt;=G70,"＞","≦")</f>
        <v>≦</v>
      </c>
      <c r="F70" s="180" t="s">
        <v>315</v>
      </c>
      <c r="G70" s="198">
        <f>'土石流時3-1'!K56</f>
        <v>4500</v>
      </c>
      <c r="H70" s="129" t="s">
        <v>176</v>
      </c>
      <c r="I70" s="129" t="str">
        <f>IF(G70&lt;D70,"OUT","OK")</f>
        <v>OK</v>
      </c>
      <c r="J70" s="203" t="s">
        <v>192</v>
      </c>
      <c r="K70" s="73"/>
      <c r="L70" s="169"/>
    </row>
    <row r="71" spans="1:12" ht="16.5" customHeight="1">
      <c r="A71" s="18"/>
      <c r="B71" s="171"/>
      <c r="G71" s="65"/>
      <c r="H71" s="65"/>
      <c r="I71" s="73"/>
      <c r="J71" s="203"/>
      <c r="K71" s="73"/>
      <c r="L71" s="169"/>
    </row>
    <row r="72" spans="1:12" ht="16.5" customHeight="1">
      <c r="A72" s="18"/>
      <c r="B72" s="253" t="s">
        <v>193</v>
      </c>
      <c r="C72" s="14" t="s">
        <v>6</v>
      </c>
      <c r="D72" s="65">
        <f>J55</f>
        <v>-28.45</v>
      </c>
      <c r="E72" s="192" t="str">
        <f>IF(D72&lt;=G72,"＜","≧")</f>
        <v>＜</v>
      </c>
      <c r="F72" s="180"/>
      <c r="G72" s="198">
        <v>0</v>
      </c>
      <c r="H72" s="129" t="s">
        <v>307</v>
      </c>
      <c r="I72" s="129" t="str">
        <f>IF(G72&lt;D72,"OK","OUT")</f>
        <v>OUT</v>
      </c>
      <c r="J72" s="203" t="s">
        <v>192</v>
      </c>
      <c r="K72" s="73"/>
      <c r="L72" s="169"/>
    </row>
  </sheetData>
  <sheetProtection/>
  <mergeCells count="48">
    <mergeCell ref="A55:A56"/>
    <mergeCell ref="C55:C56"/>
    <mergeCell ref="K61:L62"/>
    <mergeCell ref="F62:H62"/>
    <mergeCell ref="A61:A62"/>
    <mergeCell ref="C61:C62"/>
    <mergeCell ref="D61:D62"/>
    <mergeCell ref="E61:E62"/>
    <mergeCell ref="I61:I62"/>
    <mergeCell ref="J61:J62"/>
    <mergeCell ref="A58:A59"/>
    <mergeCell ref="C58:C59"/>
    <mergeCell ref="D58:D59"/>
    <mergeCell ref="E58:E59"/>
    <mergeCell ref="I58:I59"/>
    <mergeCell ref="F59:H59"/>
    <mergeCell ref="D55:D56"/>
    <mergeCell ref="E55:E56"/>
    <mergeCell ref="I55:I56"/>
    <mergeCell ref="J55:J56"/>
    <mergeCell ref="J49:J50"/>
    <mergeCell ref="K49:K50"/>
    <mergeCell ref="K55:L56"/>
    <mergeCell ref="F56:H56"/>
    <mergeCell ref="A52:A53"/>
    <mergeCell ref="C52:C53"/>
    <mergeCell ref="D52:D53"/>
    <mergeCell ref="E52:E53"/>
    <mergeCell ref="I52:I53"/>
    <mergeCell ref="F53:H53"/>
    <mergeCell ref="B20:B21"/>
    <mergeCell ref="C20:C21"/>
    <mergeCell ref="D21:J21"/>
    <mergeCell ref="A49:A50"/>
    <mergeCell ref="B49:B50"/>
    <mergeCell ref="C49:C50"/>
    <mergeCell ref="E49:E50"/>
    <mergeCell ref="F49:F50"/>
    <mergeCell ref="G49:G50"/>
    <mergeCell ref="I49:I50"/>
    <mergeCell ref="A3:A4"/>
    <mergeCell ref="C3:C4"/>
    <mergeCell ref="E3:E4"/>
    <mergeCell ref="F3:F4"/>
    <mergeCell ref="G3:G4"/>
    <mergeCell ref="B17:B18"/>
    <mergeCell ref="C17:C18"/>
    <mergeCell ref="D18:J18"/>
  </mergeCells>
  <printOptions/>
  <pageMargins left="1.1811023622047245" right="0.1968503937007874" top="1.1811023622047245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B10" sqref="B10"/>
    </sheetView>
  </sheetViews>
  <sheetFormatPr defaultColWidth="8.875" defaultRowHeight="13.5"/>
  <cols>
    <col min="1" max="1" width="4.25390625" style="14" customWidth="1"/>
    <col min="2" max="2" width="6.00390625" style="14" customWidth="1"/>
    <col min="3" max="3" width="1.4921875" style="14" customWidth="1"/>
    <col min="4" max="4" width="8.875" style="14" customWidth="1"/>
    <col min="5" max="5" width="1.4921875" style="14" customWidth="1"/>
    <col min="6" max="6" width="6.875" style="14" customWidth="1"/>
    <col min="7" max="7" width="1.4921875" style="14" customWidth="1"/>
    <col min="8" max="8" width="7.75390625" style="14" customWidth="1"/>
    <col min="9" max="9" width="3.75390625" style="14" customWidth="1"/>
    <col min="10" max="11" width="6.875" style="14" customWidth="1"/>
    <col min="12" max="14" width="4.25390625" style="14" customWidth="1"/>
    <col min="15" max="15" width="2.50390625" style="14" customWidth="1"/>
    <col min="16" max="18" width="4.25390625" style="14" customWidth="1"/>
    <col min="19" max="19" width="1.4921875" style="14" customWidth="1"/>
    <col min="20" max="20" width="6.00390625" style="14" customWidth="1"/>
    <col min="21" max="21" width="1.4921875" style="14" customWidth="1"/>
    <col min="22" max="22" width="1.625" style="14" customWidth="1"/>
    <col min="23" max="16384" width="8.875" style="14" customWidth="1"/>
  </cols>
  <sheetData>
    <row r="1" spans="1:11" ht="18" customHeight="1">
      <c r="A1" s="219" t="s">
        <v>336</v>
      </c>
      <c r="B1" s="220" t="str">
        <f>"安定計算（非越流部 袖小口の断面）　上流勾配 1:"&amp;FIXED(I24,2)</f>
        <v>安定計算（非越流部 袖小口の断面）　上流勾配 1:0.35</v>
      </c>
      <c r="C1" s="221"/>
      <c r="D1" s="221"/>
      <c r="E1" s="222"/>
      <c r="F1" s="222"/>
      <c r="G1" s="222"/>
      <c r="H1" s="222"/>
      <c r="I1" s="222"/>
      <c r="J1" s="222"/>
      <c r="K1" s="222"/>
    </row>
    <row r="2" ht="12" customHeight="1"/>
    <row r="3" ht="18" customHeight="1">
      <c r="B3" s="14" t="s">
        <v>7</v>
      </c>
    </row>
    <row r="4" spans="1:24" s="223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23" customFormat="1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223" customFormat="1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223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40"/>
      <c r="L7" s="40"/>
      <c r="M7" s="40" t="s">
        <v>221</v>
      </c>
      <c r="N7" s="166" t="s">
        <v>222</v>
      </c>
      <c r="O7" s="40"/>
      <c r="P7" s="40"/>
      <c r="Q7" s="40"/>
      <c r="R7" s="40"/>
      <c r="S7" s="40"/>
      <c r="T7" s="40"/>
      <c r="U7" s="40"/>
      <c r="V7" s="14"/>
      <c r="W7" s="14"/>
      <c r="X7" s="14"/>
    </row>
    <row r="8" spans="1:24" s="223" customFormat="1" ht="12" customHeight="1">
      <c r="A8" s="14"/>
      <c r="B8" s="16" t="s">
        <v>223</v>
      </c>
      <c r="C8" s="14"/>
      <c r="D8" s="14"/>
      <c r="E8" s="14"/>
      <c r="F8" s="14"/>
      <c r="G8" s="14"/>
      <c r="H8" s="14" t="s">
        <v>224</v>
      </c>
      <c r="I8" s="14"/>
      <c r="J8" s="14"/>
      <c r="K8" s="14"/>
      <c r="L8" s="14"/>
      <c r="M8" s="167" t="s">
        <v>225</v>
      </c>
      <c r="N8" s="14"/>
      <c r="O8" s="155"/>
      <c r="P8" s="14"/>
      <c r="Q8" s="14"/>
      <c r="R8" s="14"/>
      <c r="S8" s="14"/>
      <c r="T8" s="14"/>
      <c r="U8" s="14"/>
      <c r="V8" s="14"/>
      <c r="W8" s="14"/>
      <c r="X8" s="14"/>
    </row>
    <row r="9" spans="1:24" s="223" customFormat="1" ht="12" customHeight="1">
      <c r="A9" s="14"/>
      <c r="B9" s="240">
        <v>1.5</v>
      </c>
      <c r="C9" s="14"/>
      <c r="D9" s="14"/>
      <c r="E9" s="14"/>
      <c r="F9" s="14"/>
      <c r="G9" s="14"/>
      <c r="H9" s="14"/>
      <c r="I9" s="284" t="s">
        <v>226</v>
      </c>
      <c r="J9" s="28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223" customFormat="1" ht="12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6" t="s">
        <v>227</v>
      </c>
      <c r="U10" s="14"/>
      <c r="V10" s="14"/>
      <c r="W10" s="14"/>
      <c r="X10" s="14"/>
    </row>
    <row r="11" spans="1:24" s="223" customFormat="1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68">
        <f>'土石流時1-1'!T8</f>
        <v>0.6</v>
      </c>
      <c r="U11" s="14"/>
      <c r="V11" s="14"/>
      <c r="W11" s="14"/>
      <c r="X11" s="14"/>
    </row>
    <row r="12" spans="1:24" s="223" customFormat="1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223" customFormat="1" ht="1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223" customFormat="1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223" customFormat="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223" customFormat="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223" customFormat="1" ht="12">
      <c r="A17" s="14"/>
      <c r="B17" s="14"/>
      <c r="C17" s="14"/>
      <c r="D17" s="14"/>
      <c r="E17" s="14"/>
      <c r="F17" s="14"/>
      <c r="G17" s="14"/>
      <c r="H17" s="14"/>
      <c r="I17" s="14"/>
      <c r="J17" s="14" t="s">
        <v>228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223" customFormat="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223" customFormat="1" ht="12">
      <c r="A19" s="14"/>
      <c r="B19" s="14"/>
      <c r="C19" s="14"/>
      <c r="D19" s="14"/>
      <c r="E19" s="14"/>
      <c r="F19" s="14"/>
      <c r="G19" s="14"/>
      <c r="H19" s="14" t="s">
        <v>229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223" customFormat="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223" customFormat="1" ht="12">
      <c r="A21" s="14"/>
      <c r="B21" s="16" t="s">
        <v>230</v>
      </c>
      <c r="C21" s="14"/>
      <c r="D21" s="14"/>
      <c r="E21" s="325">
        <f>'洪水1-1'!F15</f>
        <v>0.2</v>
      </c>
      <c r="F21" s="325" t="e">
        <v>#REF!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223" customFormat="1" ht="12">
      <c r="A22" s="14"/>
      <c r="B22" s="168">
        <f>'洪水1-1'!B19</f>
        <v>11</v>
      </c>
      <c r="C22" s="14"/>
      <c r="D22" s="14"/>
      <c r="E22" s="14"/>
      <c r="F22" s="14"/>
      <c r="G22" s="14"/>
      <c r="H22" s="14"/>
      <c r="I22" s="14"/>
      <c r="J22" s="18" t="s">
        <v>231</v>
      </c>
      <c r="K22" s="14"/>
      <c r="L22" s="14"/>
      <c r="M22" s="18" t="s">
        <v>232</v>
      </c>
      <c r="N22" s="14"/>
      <c r="O22" s="14"/>
      <c r="P22" s="14"/>
      <c r="Q22" s="14" t="s">
        <v>233</v>
      </c>
      <c r="R22" s="14"/>
      <c r="S22" s="14"/>
      <c r="T22" s="16" t="s">
        <v>234</v>
      </c>
      <c r="U22" s="14"/>
      <c r="V22" s="14"/>
      <c r="W22" s="14"/>
      <c r="X22" s="14"/>
    </row>
    <row r="23" spans="1:24" s="223" customFormat="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68">
        <f>B22</f>
        <v>11</v>
      </c>
      <c r="U23" s="14"/>
      <c r="V23" s="14"/>
      <c r="W23" s="14"/>
      <c r="X23" s="14"/>
    </row>
    <row r="24" spans="1:24" s="223" customFormat="1" ht="12">
      <c r="A24" s="14"/>
      <c r="B24" s="14"/>
      <c r="C24" s="14"/>
      <c r="D24" s="14"/>
      <c r="E24" s="14"/>
      <c r="F24" s="14"/>
      <c r="G24" s="14"/>
      <c r="H24" s="14"/>
      <c r="I24" s="325">
        <f>'洪水1-1'!I16</f>
        <v>0.35</v>
      </c>
      <c r="J24" s="325" t="e">
        <v>#REF!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223" customFormat="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223" customFormat="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223" customFormat="1" ht="12">
      <c r="A27" s="14"/>
      <c r="B27" s="14"/>
      <c r="C27" s="14"/>
      <c r="D27" s="14"/>
      <c r="E27" s="14"/>
      <c r="F27" s="14" t="s">
        <v>235</v>
      </c>
      <c r="G27" s="14"/>
      <c r="H27" s="14"/>
      <c r="I27" s="14"/>
      <c r="J27" s="14" t="s">
        <v>236</v>
      </c>
      <c r="K27" s="14"/>
      <c r="L27" s="14" t="s">
        <v>237</v>
      </c>
      <c r="M27" s="14"/>
      <c r="N27" s="14"/>
      <c r="O27" s="14"/>
      <c r="P27" s="14" t="s">
        <v>238</v>
      </c>
      <c r="Q27" s="14"/>
      <c r="R27" s="14"/>
      <c r="S27" s="14"/>
      <c r="T27" s="14"/>
      <c r="U27" s="14"/>
      <c r="V27" s="14"/>
      <c r="W27" s="14"/>
      <c r="X27" s="14"/>
    </row>
    <row r="28" spans="1:24" s="223" customFormat="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223" customFormat="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284"/>
      <c r="L29" s="284"/>
      <c r="M29" s="14"/>
      <c r="N29" s="14"/>
      <c r="O29" s="284"/>
      <c r="P29" s="284"/>
      <c r="Q29" s="14"/>
      <c r="R29" s="14"/>
      <c r="S29" s="14"/>
      <c r="T29" s="14"/>
      <c r="U29" s="14"/>
      <c r="V29" s="14"/>
      <c r="W29" s="14"/>
      <c r="X29" s="14"/>
    </row>
    <row r="30" spans="1:24" s="223" customFormat="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223" customFormat="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223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223" customFormat="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223" customFormat="1" ht="12">
      <c r="A34" s="14"/>
      <c r="B34" s="14"/>
      <c r="C34" s="14"/>
      <c r="D34" s="14"/>
      <c r="E34" s="14"/>
      <c r="F34" s="16" t="s">
        <v>239</v>
      </c>
      <c r="G34" s="16"/>
      <c r="H34" s="16" t="s">
        <v>240</v>
      </c>
      <c r="I34" s="326" t="s">
        <v>241</v>
      </c>
      <c r="J34" s="3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223" customFormat="1" ht="12">
      <c r="A35" s="14"/>
      <c r="B35" s="14"/>
      <c r="C35" s="14"/>
      <c r="D35" s="14"/>
      <c r="E35" s="14"/>
      <c r="F35" s="285">
        <f>B22*E21</f>
        <v>2.2</v>
      </c>
      <c r="G35" s="285"/>
      <c r="H35" s="65">
        <f>'洪水1-1'!H33</f>
        <v>3</v>
      </c>
      <c r="I35" s="285">
        <f>B22*I24</f>
        <v>3.85</v>
      </c>
      <c r="J35" s="28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223" customFormat="1" ht="4.5" customHeight="1">
      <c r="A36" s="14"/>
      <c r="B36" s="14"/>
      <c r="C36" s="14"/>
      <c r="D36" s="14"/>
      <c r="E36" s="14"/>
      <c r="F36" s="65"/>
      <c r="G36" s="65"/>
      <c r="H36" s="65"/>
      <c r="I36" s="65"/>
      <c r="J36" s="6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223" customFormat="1" ht="4.5" customHeight="1">
      <c r="A37" s="14"/>
      <c r="B37" s="14"/>
      <c r="C37" s="14"/>
      <c r="D37" s="14"/>
      <c r="E37" s="14"/>
      <c r="F37" s="65"/>
      <c r="G37" s="65"/>
      <c r="H37" s="65"/>
      <c r="I37" s="65"/>
      <c r="J37" s="6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223" customFormat="1" ht="12">
      <c r="A38" s="14"/>
      <c r="B38" s="14"/>
      <c r="C38" s="14"/>
      <c r="D38" s="14"/>
      <c r="E38" s="14"/>
      <c r="F38" s="65"/>
      <c r="G38" s="65"/>
      <c r="H38" s="159" t="s">
        <v>242</v>
      </c>
      <c r="I38" s="159"/>
      <c r="J38" s="6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223" customFormat="1" ht="12">
      <c r="A39" s="14"/>
      <c r="B39" s="14"/>
      <c r="C39" s="14"/>
      <c r="D39" s="14"/>
      <c r="E39" s="14"/>
      <c r="F39" s="285">
        <f>F35+H35+I35</f>
        <v>9.05</v>
      </c>
      <c r="G39" s="285"/>
      <c r="H39" s="285"/>
      <c r="I39" s="285"/>
      <c r="J39" s="28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223" customFormat="1" ht="4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2" spans="4:11" ht="13.5" customHeight="1">
      <c r="D42" s="16" t="s">
        <v>51</v>
      </c>
      <c r="K42" s="16" t="str">
        <f>'土石流時1-1'!K39</f>
        <v>軟岩(Ⅰ)</v>
      </c>
    </row>
    <row r="43" spans="3:12" ht="13.5" customHeight="1">
      <c r="C43" s="17" t="s">
        <v>199</v>
      </c>
      <c r="K43" s="224">
        <f>'土石流時1-1'!K40</f>
        <v>1177</v>
      </c>
      <c r="L43" s="16" t="s">
        <v>243</v>
      </c>
    </row>
    <row r="44" spans="3:11" ht="13.5" customHeight="1">
      <c r="C44" s="16" t="s">
        <v>201</v>
      </c>
      <c r="K44" s="60">
        <f>'土石流時1-1'!K41</f>
        <v>4</v>
      </c>
    </row>
    <row r="45" spans="3:12" ht="13.5" customHeight="1">
      <c r="C45" s="16" t="s">
        <v>200</v>
      </c>
      <c r="F45" s="16"/>
      <c r="G45" s="16"/>
      <c r="H45" s="16"/>
      <c r="K45" s="65">
        <f>'土石流時1-1'!K42</f>
        <v>4</v>
      </c>
      <c r="L45" s="16" t="s">
        <v>244</v>
      </c>
    </row>
    <row r="46" spans="3:12" ht="13.5" customHeight="1">
      <c r="C46" s="17" t="s">
        <v>202</v>
      </c>
      <c r="F46" s="16"/>
      <c r="G46" s="16"/>
      <c r="H46" s="16"/>
      <c r="K46" s="65">
        <f>'土石流時1-1'!K43</f>
        <v>22.56</v>
      </c>
      <c r="L46" s="16" t="s">
        <v>245</v>
      </c>
    </row>
    <row r="47" spans="3:12" ht="13.5" customHeight="1">
      <c r="C47" s="17" t="s">
        <v>203</v>
      </c>
      <c r="F47" s="16"/>
      <c r="G47" s="16"/>
      <c r="H47" s="16"/>
      <c r="K47" s="65">
        <f>'土石流時1-1'!K44</f>
        <v>11.77</v>
      </c>
      <c r="L47" s="16" t="s">
        <v>246</v>
      </c>
    </row>
    <row r="48" spans="3:12" ht="13.5" customHeight="1">
      <c r="C48" s="16" t="s">
        <v>207</v>
      </c>
      <c r="D48" s="217"/>
      <c r="F48" s="16"/>
      <c r="G48" s="16"/>
      <c r="H48" s="16"/>
      <c r="K48" s="65">
        <f>'土石流時1-1'!K45</f>
        <v>8.24</v>
      </c>
      <c r="L48" s="16" t="s">
        <v>246</v>
      </c>
    </row>
    <row r="49" spans="3:12" ht="13.5" customHeight="1">
      <c r="C49" s="16" t="s">
        <v>88</v>
      </c>
      <c r="F49" s="18"/>
      <c r="H49" s="63"/>
      <c r="K49" s="65">
        <f>'土石流時1-1'!K46</f>
        <v>19.18</v>
      </c>
      <c r="L49" s="16" t="s">
        <v>246</v>
      </c>
    </row>
    <row r="50" spans="3:14" ht="13.5" customHeight="1">
      <c r="C50" s="16" t="s">
        <v>208</v>
      </c>
      <c r="D50" s="217"/>
      <c r="F50" s="16"/>
      <c r="G50" s="16"/>
      <c r="H50" s="16"/>
      <c r="K50" s="65">
        <f>'土石流時1-1'!K47</f>
        <v>7.41</v>
      </c>
      <c r="L50" s="16" t="s">
        <v>86</v>
      </c>
      <c r="N50" s="16" t="s">
        <v>209</v>
      </c>
    </row>
    <row r="51" spans="3:15" ht="13.5" customHeight="1">
      <c r="C51" s="17" t="s">
        <v>117</v>
      </c>
      <c r="F51" s="16"/>
      <c r="G51" s="16"/>
      <c r="H51" s="16"/>
      <c r="K51" s="169">
        <f>'土石流時1-1'!K48</f>
        <v>0.3</v>
      </c>
      <c r="L51" s="16"/>
      <c r="O51" s="61"/>
    </row>
    <row r="52" spans="3:15" ht="13.5" customHeight="1">
      <c r="C52" s="16" t="s">
        <v>118</v>
      </c>
      <c r="K52" s="65">
        <f>'土石流時1-1'!K49</f>
        <v>0.7</v>
      </c>
      <c r="O52" s="61"/>
    </row>
    <row r="53" spans="3:15" ht="13.5" customHeight="1">
      <c r="C53" s="16" t="s">
        <v>119</v>
      </c>
      <c r="F53" s="16"/>
      <c r="G53" s="16"/>
      <c r="H53" s="16"/>
      <c r="K53" s="65">
        <f>'土石流時1-1'!K50</f>
        <v>9.81</v>
      </c>
      <c r="L53" s="16" t="s">
        <v>247</v>
      </c>
      <c r="O53" s="61"/>
    </row>
    <row r="54" spans="3:15" ht="13.5" customHeight="1">
      <c r="C54" s="16" t="s">
        <v>204</v>
      </c>
      <c r="K54" s="66">
        <f>'土石流時1-1'!K51</f>
        <v>588</v>
      </c>
      <c r="L54" s="16" t="s">
        <v>176</v>
      </c>
      <c r="O54" s="61"/>
    </row>
    <row r="55" spans="3:15" ht="13.5" customHeight="1">
      <c r="C55" s="16" t="s">
        <v>205</v>
      </c>
      <c r="K55" s="66">
        <f>'土石流時1-1'!K52</f>
        <v>330</v>
      </c>
      <c r="L55" s="16" t="s">
        <v>176</v>
      </c>
      <c r="O55" s="61"/>
    </row>
    <row r="56" spans="3:15" ht="13.5" customHeight="1">
      <c r="C56" s="16" t="s">
        <v>206</v>
      </c>
      <c r="K56" s="66">
        <f>'土石流時1-1'!K53</f>
        <v>4500</v>
      </c>
      <c r="L56" s="16" t="s">
        <v>176</v>
      </c>
      <c r="O56" s="61"/>
    </row>
    <row r="57" ht="13.5" customHeight="1">
      <c r="O57" s="61"/>
    </row>
    <row r="58" spans="1:15" s="1" customFormat="1" ht="15" customHeight="1" thickBot="1">
      <c r="A58" s="14"/>
      <c r="B58" s="286" t="s">
        <v>9</v>
      </c>
      <c r="C58" s="286"/>
      <c r="D58" s="286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9" s="1" customFormat="1" ht="15" customHeight="1">
      <c r="A59" s="14"/>
      <c r="B59" s="287" t="s">
        <v>85</v>
      </c>
      <c r="C59" s="288"/>
      <c r="D59" s="288"/>
      <c r="E59" s="288"/>
      <c r="F59" s="289" t="s">
        <v>334</v>
      </c>
      <c r="G59" s="290"/>
      <c r="H59" s="290"/>
      <c r="I59" s="290"/>
      <c r="J59" s="204">
        <f>'土石流時4-3'!B8</f>
        <v>0</v>
      </c>
      <c r="K59" s="67" t="str">
        <f>'土石流時4-3'!C8</f>
        <v>≦</v>
      </c>
      <c r="L59" s="327">
        <f>'土石流時4-3'!D8</f>
        <v>5.97</v>
      </c>
      <c r="M59" s="327"/>
      <c r="N59" s="67" t="str">
        <f>'土石流時4-3'!E8</f>
        <v>≦</v>
      </c>
      <c r="O59" s="327">
        <f>'土石流時4-3'!F8</f>
        <v>9.05</v>
      </c>
      <c r="P59" s="327"/>
      <c r="Q59" s="162" t="str">
        <f>'土石流時4-3'!G8</f>
        <v>OK</v>
      </c>
      <c r="R59" s="14"/>
      <c r="S59" s="14"/>
    </row>
    <row r="60" spans="1:19" s="1" customFormat="1" ht="15" customHeight="1">
      <c r="A60" s="14"/>
      <c r="B60" s="304" t="s">
        <v>248</v>
      </c>
      <c r="C60" s="305"/>
      <c r="D60" s="305"/>
      <c r="E60" s="305"/>
      <c r="F60" s="300" t="s">
        <v>249</v>
      </c>
      <c r="G60" s="301"/>
      <c r="H60" s="301"/>
      <c r="I60" s="301"/>
      <c r="J60" s="205">
        <f>'土石流時4-3'!D23</f>
        <v>4.55</v>
      </c>
      <c r="K60" s="69" t="str">
        <f>'土石流時4-3'!E23</f>
        <v>≧</v>
      </c>
      <c r="L60" s="331">
        <f>'土石流時4-3'!F23</f>
        <v>4</v>
      </c>
      <c r="M60" s="331"/>
      <c r="N60" s="69" t="str">
        <f>'土石流時4-3'!H23</f>
        <v>OK</v>
      </c>
      <c r="O60" s="69"/>
      <c r="P60" s="69"/>
      <c r="Q60" s="164"/>
      <c r="R60" s="14"/>
      <c r="S60" s="14"/>
    </row>
    <row r="61" spans="1:19" s="1" customFormat="1" ht="15" customHeight="1">
      <c r="A61" s="14"/>
      <c r="B61" s="278" t="s">
        <v>124</v>
      </c>
      <c r="C61" s="291"/>
      <c r="D61" s="291"/>
      <c r="E61" s="292"/>
      <c r="F61" s="302" t="s">
        <v>81</v>
      </c>
      <c r="G61" s="303"/>
      <c r="H61" s="303"/>
      <c r="I61" s="303"/>
      <c r="J61" s="207">
        <f>'土石流時4-3'!D68</f>
        <v>447.47</v>
      </c>
      <c r="K61" s="46" t="str">
        <f>'土石流時4-3'!E68</f>
        <v>≦</v>
      </c>
      <c r="L61" s="328">
        <f>'土石流時4-3'!G68</f>
        <v>1177</v>
      </c>
      <c r="M61" s="328"/>
      <c r="N61" s="46" t="str">
        <f>'土石流時4-3'!I68</f>
        <v>OK</v>
      </c>
      <c r="O61" s="46"/>
      <c r="P61" s="46"/>
      <c r="Q61" s="208"/>
      <c r="R61" s="14"/>
      <c r="S61" s="14"/>
    </row>
    <row r="62" spans="1:19" s="1" customFormat="1" ht="15" customHeight="1">
      <c r="A62" s="14"/>
      <c r="B62" s="278"/>
      <c r="C62" s="291"/>
      <c r="D62" s="291"/>
      <c r="E62" s="292"/>
      <c r="F62" s="296" t="s">
        <v>80</v>
      </c>
      <c r="G62" s="297"/>
      <c r="H62" s="297"/>
      <c r="I62" s="297"/>
      <c r="J62" s="205">
        <f>'土石流時4-3'!D70</f>
        <v>447.47</v>
      </c>
      <c r="K62" s="163" t="str">
        <f>'土石流時4-3'!E70</f>
        <v>≦</v>
      </c>
      <c r="L62" s="330">
        <f>'土石流時4-3'!G70</f>
        <v>4500</v>
      </c>
      <c r="M62" s="330"/>
      <c r="N62" s="163" t="str">
        <f>'土石流時4-3'!I70</f>
        <v>OK</v>
      </c>
      <c r="O62" s="163"/>
      <c r="P62" s="163"/>
      <c r="Q62" s="164"/>
      <c r="R62" s="14"/>
      <c r="S62" s="14"/>
    </row>
    <row r="63" spans="1:19" s="1" customFormat="1" ht="15" customHeight="1" thickBot="1">
      <c r="A63" s="14"/>
      <c r="B63" s="293"/>
      <c r="C63" s="294"/>
      <c r="D63" s="294"/>
      <c r="E63" s="295"/>
      <c r="F63" s="298"/>
      <c r="G63" s="299"/>
      <c r="H63" s="299"/>
      <c r="I63" s="299"/>
      <c r="J63" s="209">
        <f>'土石流時4-3'!D72</f>
        <v>8.82</v>
      </c>
      <c r="K63" s="210" t="str">
        <f>'土石流時4-3'!E72</f>
        <v>≧</v>
      </c>
      <c r="L63" s="329">
        <f>'土石流時4-3'!G72</f>
        <v>0</v>
      </c>
      <c r="M63" s="329"/>
      <c r="N63" s="210" t="str">
        <f>'土石流時4-3'!I72</f>
        <v>OK</v>
      </c>
      <c r="O63" s="210"/>
      <c r="P63" s="210"/>
      <c r="Q63" s="71"/>
      <c r="R63" s="14"/>
      <c r="S63" s="14"/>
    </row>
    <row r="64" ht="15.75" customHeight="1">
      <c r="O64" s="61"/>
    </row>
  </sheetData>
  <sheetProtection/>
  <mergeCells count="23">
    <mergeCell ref="L63:M63"/>
    <mergeCell ref="L59:M59"/>
    <mergeCell ref="O59:P59"/>
    <mergeCell ref="B60:E60"/>
    <mergeCell ref="F60:I60"/>
    <mergeCell ref="L60:M60"/>
    <mergeCell ref="B61:E63"/>
    <mergeCell ref="F61:I61"/>
    <mergeCell ref="L61:M61"/>
    <mergeCell ref="F62:I63"/>
    <mergeCell ref="L62:M62"/>
    <mergeCell ref="F35:G35"/>
    <mergeCell ref="I35:J35"/>
    <mergeCell ref="F39:J39"/>
    <mergeCell ref="B58:D58"/>
    <mergeCell ref="B59:E59"/>
    <mergeCell ref="F59:I59"/>
    <mergeCell ref="I9:J9"/>
    <mergeCell ref="E21:F21"/>
    <mergeCell ref="I24:J24"/>
    <mergeCell ref="K29:L29"/>
    <mergeCell ref="O29:P29"/>
    <mergeCell ref="I34:J34"/>
  </mergeCells>
  <printOptions/>
  <pageMargins left="0.7874015748031497" right="0" top="0.984251968503937" bottom="0.1968503937007874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">
      <selection activeCell="L19" sqref="L19"/>
    </sheetView>
  </sheetViews>
  <sheetFormatPr defaultColWidth="9.25390625" defaultRowHeight="13.5"/>
  <cols>
    <col min="1" max="1" width="9.375" style="223" customWidth="1"/>
    <col min="2" max="2" width="4.00390625" style="223" customWidth="1"/>
    <col min="3" max="3" width="5.75390625" style="223" customWidth="1"/>
    <col min="4" max="4" width="2.25390625" style="223" customWidth="1"/>
    <col min="5" max="5" width="5.75390625" style="223" customWidth="1"/>
    <col min="6" max="6" width="2.875" style="223" customWidth="1"/>
    <col min="7" max="7" width="5.75390625" style="223" customWidth="1"/>
    <col min="8" max="8" width="2.25390625" style="223" customWidth="1"/>
    <col min="9" max="9" width="5.75390625" style="223" customWidth="1"/>
    <col min="10" max="10" width="2.25390625" style="223" customWidth="1"/>
    <col min="11" max="11" width="5.75390625" style="223" customWidth="1"/>
    <col min="12" max="12" width="2.25390625" style="223" customWidth="1"/>
    <col min="13" max="14" width="7.625" style="223" customWidth="1"/>
    <col min="15" max="15" width="5.75390625" style="223" customWidth="1"/>
    <col min="16" max="16" width="2.875" style="223" customWidth="1"/>
    <col min="17" max="17" width="5.75390625" style="223" customWidth="1"/>
    <col min="18" max="18" width="2.25390625" style="223" customWidth="1"/>
    <col min="19" max="19" width="5.75390625" style="223" customWidth="1"/>
    <col min="20" max="20" width="2.25390625" style="223" customWidth="1"/>
    <col min="21" max="21" width="5.75390625" style="223" customWidth="1"/>
    <col min="22" max="22" width="2.25390625" style="223" customWidth="1"/>
    <col min="23" max="23" width="5.75390625" style="223" customWidth="1"/>
    <col min="24" max="24" width="2.25390625" style="223" customWidth="1"/>
    <col min="25" max="25" width="5.75390625" style="223" customWidth="1"/>
    <col min="26" max="26" width="2.25390625" style="223" customWidth="1"/>
    <col min="27" max="27" width="6.75390625" style="223" customWidth="1"/>
    <col min="28" max="28" width="8.50390625" style="223" customWidth="1"/>
    <col min="29" max="16384" width="9.25390625" style="223" customWidth="1"/>
  </cols>
  <sheetData>
    <row r="1" spans="1:28" ht="18" customHeight="1">
      <c r="A1" s="14"/>
      <c r="B1" s="14"/>
      <c r="C1" s="14"/>
      <c r="D1" s="14"/>
      <c r="E1" s="14"/>
      <c r="F1" s="14"/>
      <c r="G1" s="15" t="s">
        <v>250</v>
      </c>
      <c r="H1" s="16"/>
      <c r="I1" s="17" t="s">
        <v>251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8"/>
      <c r="V1" s="14"/>
      <c r="W1" s="19"/>
      <c r="X1" s="14"/>
      <c r="Y1" s="18"/>
      <c r="Z1" s="14"/>
      <c r="AA1" s="16"/>
      <c r="AB1" s="14"/>
    </row>
    <row r="2" spans="1:28" ht="12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14" customFormat="1" ht="18" customHeight="1">
      <c r="A3" s="306" t="s">
        <v>252</v>
      </c>
      <c r="B3" s="308" t="s">
        <v>253</v>
      </c>
      <c r="C3" s="74"/>
      <c r="D3" s="75"/>
      <c r="E3" s="310" t="s">
        <v>254</v>
      </c>
      <c r="F3" s="310"/>
      <c r="G3" s="310"/>
      <c r="H3" s="310"/>
      <c r="I3" s="310"/>
      <c r="J3" s="310"/>
      <c r="K3" s="75"/>
      <c r="L3" s="75"/>
      <c r="M3" s="76" t="s">
        <v>25</v>
      </c>
      <c r="N3" s="76" t="s">
        <v>26</v>
      </c>
      <c r="O3" s="74"/>
      <c r="P3" s="75"/>
      <c r="Q3" s="310" t="s">
        <v>255</v>
      </c>
      <c r="R3" s="310"/>
      <c r="S3" s="310"/>
      <c r="T3" s="310"/>
      <c r="U3" s="310"/>
      <c r="V3" s="310"/>
      <c r="W3" s="310"/>
      <c r="X3" s="310"/>
      <c r="Y3" s="310"/>
      <c r="Z3" s="310"/>
      <c r="AA3" s="75"/>
      <c r="AB3" s="77" t="s">
        <v>256</v>
      </c>
    </row>
    <row r="4" spans="1:28" s="14" customFormat="1" ht="18" customHeight="1" thickBot="1">
      <c r="A4" s="307"/>
      <c r="B4" s="309"/>
      <c r="C4" s="78"/>
      <c r="D4" s="79"/>
      <c r="E4" s="311"/>
      <c r="F4" s="311"/>
      <c r="G4" s="311"/>
      <c r="H4" s="311"/>
      <c r="I4" s="311"/>
      <c r="J4" s="311"/>
      <c r="K4" s="79"/>
      <c r="L4" s="79"/>
      <c r="M4" s="80" t="s">
        <v>257</v>
      </c>
      <c r="N4" s="80" t="s">
        <v>258</v>
      </c>
      <c r="O4" s="78"/>
      <c r="P4" s="79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79"/>
      <c r="AB4" s="81" t="s">
        <v>259</v>
      </c>
    </row>
    <row r="5" spans="1:29" ht="12.75" thickTop="1">
      <c r="A5" s="82"/>
      <c r="B5" s="83"/>
      <c r="C5" s="83"/>
      <c r="D5" s="84"/>
      <c r="E5" s="84"/>
      <c r="F5" s="84"/>
      <c r="G5" s="84"/>
      <c r="H5" s="84"/>
      <c r="I5" s="84"/>
      <c r="J5" s="84"/>
      <c r="K5" s="84"/>
      <c r="L5" s="85"/>
      <c r="M5" s="86"/>
      <c r="N5" s="86"/>
      <c r="O5" s="83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132"/>
      <c r="AC5" s="225"/>
    </row>
    <row r="6" spans="1:29" ht="12">
      <c r="A6" s="88" t="s">
        <v>28</v>
      </c>
      <c r="B6" s="80" t="s">
        <v>29</v>
      </c>
      <c r="C6" s="89"/>
      <c r="D6" s="79"/>
      <c r="E6" s="90"/>
      <c r="F6" s="79"/>
      <c r="G6" s="90"/>
      <c r="H6" s="79"/>
      <c r="I6" s="79"/>
      <c r="J6" s="79"/>
      <c r="K6" s="79"/>
      <c r="L6" s="90"/>
      <c r="M6" s="91"/>
      <c r="N6" s="91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133"/>
      <c r="AB6" s="92"/>
      <c r="AC6" s="226"/>
    </row>
    <row r="7" spans="1:28" ht="12" customHeight="1">
      <c r="A7" s="93"/>
      <c r="B7" s="94"/>
      <c r="C7" s="134">
        <v>1</v>
      </c>
      <c r="D7" s="95"/>
      <c r="E7" s="95"/>
      <c r="F7" s="95"/>
      <c r="G7" s="135"/>
      <c r="H7" s="95"/>
      <c r="I7" s="96">
        <v>2</v>
      </c>
      <c r="J7" s="95"/>
      <c r="K7" s="95"/>
      <c r="L7" s="95"/>
      <c r="M7" s="97"/>
      <c r="N7" s="97"/>
      <c r="O7" s="134">
        <v>2</v>
      </c>
      <c r="P7" s="112"/>
      <c r="Q7" s="112"/>
      <c r="R7" s="112"/>
      <c r="S7" s="112"/>
      <c r="T7" s="95"/>
      <c r="U7" s="95"/>
      <c r="V7" s="95"/>
      <c r="W7" s="95"/>
      <c r="X7" s="95"/>
      <c r="Y7" s="95"/>
      <c r="Z7" s="95"/>
      <c r="AA7" s="136"/>
      <c r="AB7" s="98"/>
    </row>
    <row r="8" spans="1:28" ht="12">
      <c r="A8" s="99"/>
      <c r="B8" s="80" t="s">
        <v>30</v>
      </c>
      <c r="C8" s="100">
        <v>2</v>
      </c>
      <c r="D8" s="101" t="s">
        <v>31</v>
      </c>
      <c r="E8" s="101">
        <f>'土石流時4-1'!K46</f>
        <v>22.56</v>
      </c>
      <c r="F8" s="101" t="s">
        <v>31</v>
      </c>
      <c r="G8" s="101">
        <f>'土石流時4-1'!I24</f>
        <v>0.35</v>
      </c>
      <c r="H8" s="101" t="s">
        <v>31</v>
      </c>
      <c r="I8" s="101">
        <f>'土石流時4-1'!B22</f>
        <v>11</v>
      </c>
      <c r="J8" s="79"/>
      <c r="K8" s="79"/>
      <c r="L8" s="79"/>
      <c r="M8" s="227">
        <f>E8*G8*I8^I7/C8</f>
        <v>477.71</v>
      </c>
      <c r="N8" s="227"/>
      <c r="O8" s="100">
        <v>3</v>
      </c>
      <c r="P8" s="101" t="s">
        <v>31</v>
      </c>
      <c r="Q8" s="101">
        <f>G8</f>
        <v>0.35</v>
      </c>
      <c r="R8" s="101" t="s">
        <v>31</v>
      </c>
      <c r="S8" s="101">
        <f>I8</f>
        <v>11</v>
      </c>
      <c r="T8" s="79"/>
      <c r="U8" s="79"/>
      <c r="V8" s="79"/>
      <c r="W8" s="79"/>
      <c r="X8" s="79"/>
      <c r="Y8" s="79"/>
      <c r="Z8" s="101" t="s">
        <v>10</v>
      </c>
      <c r="AA8" s="137">
        <f>O7/O8*Q8*S8</f>
        <v>2.57</v>
      </c>
      <c r="AB8" s="228">
        <f>ROUND(AA8*M8+AA8*N8,2)</f>
        <v>1227.71</v>
      </c>
    </row>
    <row r="9" spans="1:28" ht="12">
      <c r="A9" s="93"/>
      <c r="B9" s="94"/>
      <c r="C9" s="111"/>
      <c r="D9" s="112"/>
      <c r="E9" s="112"/>
      <c r="F9" s="112"/>
      <c r="G9" s="112"/>
      <c r="H9" s="112"/>
      <c r="I9" s="112"/>
      <c r="J9" s="95"/>
      <c r="K9" s="95"/>
      <c r="L9" s="95"/>
      <c r="M9" s="97"/>
      <c r="N9" s="97"/>
      <c r="O9" s="94"/>
      <c r="P9" s="95"/>
      <c r="Q9" s="95"/>
      <c r="R9" s="112"/>
      <c r="S9" s="138">
        <v>1</v>
      </c>
      <c r="T9" s="112"/>
      <c r="U9" s="112"/>
      <c r="V9" s="95"/>
      <c r="W9" s="95"/>
      <c r="X9" s="95"/>
      <c r="Y9" s="112"/>
      <c r="Z9" s="112"/>
      <c r="AA9" s="139"/>
      <c r="AB9" s="229"/>
    </row>
    <row r="10" spans="1:28" ht="12">
      <c r="A10" s="99"/>
      <c r="B10" s="80" t="s">
        <v>32</v>
      </c>
      <c r="C10" s="141">
        <f>E8</f>
        <v>22.56</v>
      </c>
      <c r="D10" s="101" t="str">
        <f>D8</f>
        <v>×</v>
      </c>
      <c r="E10" s="101">
        <f>'土石流時4-1'!H35</f>
        <v>3</v>
      </c>
      <c r="F10" s="101" t="str">
        <f>F8</f>
        <v>×</v>
      </c>
      <c r="G10" s="101">
        <f>'土石流時4-1'!B22</f>
        <v>11</v>
      </c>
      <c r="H10" s="90"/>
      <c r="I10" s="90"/>
      <c r="J10" s="79"/>
      <c r="K10" s="79"/>
      <c r="L10" s="79"/>
      <c r="M10" s="227">
        <f>C10*E10*G10</f>
        <v>744.48</v>
      </c>
      <c r="N10" s="227"/>
      <c r="O10" s="141">
        <f>G8</f>
        <v>0.35</v>
      </c>
      <c r="P10" s="101" t="s">
        <v>31</v>
      </c>
      <c r="Q10" s="101">
        <f>S8</f>
        <v>11</v>
      </c>
      <c r="R10" s="101" t="s">
        <v>17</v>
      </c>
      <c r="S10" s="110">
        <v>2</v>
      </c>
      <c r="T10" s="101" t="s">
        <v>31</v>
      </c>
      <c r="U10" s="101">
        <f>E10</f>
        <v>3</v>
      </c>
      <c r="V10" s="79"/>
      <c r="W10" s="79"/>
      <c r="X10" s="79"/>
      <c r="Y10" s="103"/>
      <c r="Z10" s="101" t="s">
        <v>10</v>
      </c>
      <c r="AA10" s="142">
        <f>Q10*O10+U10/S10</f>
        <v>5.35</v>
      </c>
      <c r="AB10" s="228">
        <f>ROUND(AA10*M10+AA10*N10,2)</f>
        <v>3982.97</v>
      </c>
    </row>
    <row r="11" spans="1:28" ht="13.5">
      <c r="A11" s="93"/>
      <c r="B11" s="94"/>
      <c r="C11" s="134">
        <v>1</v>
      </c>
      <c r="D11" s="112"/>
      <c r="E11" s="112"/>
      <c r="F11" s="112"/>
      <c r="G11" s="112"/>
      <c r="H11" s="112"/>
      <c r="I11" s="114">
        <v>2</v>
      </c>
      <c r="J11" s="95"/>
      <c r="K11" s="95"/>
      <c r="L11" s="95"/>
      <c r="M11" s="97"/>
      <c r="N11" s="97"/>
      <c r="O11" s="94"/>
      <c r="P11" s="95"/>
      <c r="Q11" s="95"/>
      <c r="R11" s="95"/>
      <c r="S11" s="95"/>
      <c r="T11" s="95"/>
      <c r="U11" s="138">
        <v>1</v>
      </c>
      <c r="V11" s="95"/>
      <c r="W11" s="95"/>
      <c r="X11" s="95"/>
      <c r="Y11" s="95"/>
      <c r="Z11" s="95"/>
      <c r="AA11" s="136"/>
      <c r="AB11" s="229"/>
    </row>
    <row r="12" spans="1:28" ht="12">
      <c r="A12" s="99"/>
      <c r="B12" s="80" t="s">
        <v>33</v>
      </c>
      <c r="C12" s="100">
        <v>2</v>
      </c>
      <c r="D12" s="101" t="str">
        <f>D10</f>
        <v>×</v>
      </c>
      <c r="E12" s="101">
        <f>C10</f>
        <v>22.56</v>
      </c>
      <c r="F12" s="101" t="str">
        <f>F10</f>
        <v>×</v>
      </c>
      <c r="G12" s="101">
        <f>'土石流時4-1'!E21</f>
        <v>0.2</v>
      </c>
      <c r="H12" s="101" t="str">
        <f>H8</f>
        <v>×</v>
      </c>
      <c r="I12" s="101">
        <f>'土石流時4-1'!B22</f>
        <v>11</v>
      </c>
      <c r="J12" s="79"/>
      <c r="K12" s="79"/>
      <c r="L12" s="79"/>
      <c r="M12" s="227">
        <f>E12*G12*I12^I11/C12</f>
        <v>272.98</v>
      </c>
      <c r="N12" s="227"/>
      <c r="O12" s="141">
        <f>O10</f>
        <v>0.35</v>
      </c>
      <c r="P12" s="101" t="s">
        <v>31</v>
      </c>
      <c r="Q12" s="101">
        <f>Q10</f>
        <v>11</v>
      </c>
      <c r="R12" s="101" t="s">
        <v>17</v>
      </c>
      <c r="S12" s="101">
        <f>U10</f>
        <v>3</v>
      </c>
      <c r="T12" s="101" t="s">
        <v>17</v>
      </c>
      <c r="U12" s="110">
        <v>3</v>
      </c>
      <c r="V12" s="101" t="s">
        <v>31</v>
      </c>
      <c r="W12" s="101">
        <f>G12</f>
        <v>0.2</v>
      </c>
      <c r="X12" s="101" t="s">
        <v>31</v>
      </c>
      <c r="Y12" s="101">
        <f>I12</f>
        <v>11</v>
      </c>
      <c r="Z12" s="101" t="s">
        <v>10</v>
      </c>
      <c r="AA12" s="142">
        <f>Q12*O12+S12+Y12*W12/U12</f>
        <v>7.58</v>
      </c>
      <c r="AB12" s="228">
        <f>ROUND(AA12*M12+AA12*N12,2)</f>
        <v>2069.19</v>
      </c>
    </row>
    <row r="13" spans="1:28" ht="12">
      <c r="A13" s="93"/>
      <c r="B13" s="94"/>
      <c r="C13" s="111"/>
      <c r="D13" s="112"/>
      <c r="E13" s="112"/>
      <c r="F13" s="112"/>
      <c r="G13" s="112"/>
      <c r="H13" s="112"/>
      <c r="I13" s="112"/>
      <c r="J13" s="95"/>
      <c r="K13" s="95"/>
      <c r="L13" s="95"/>
      <c r="M13" s="97"/>
      <c r="N13" s="97"/>
      <c r="O13" s="94"/>
      <c r="P13" s="95"/>
      <c r="Q13" s="95"/>
      <c r="R13" s="112"/>
      <c r="S13" s="138">
        <v>1</v>
      </c>
      <c r="T13" s="112"/>
      <c r="U13" s="112"/>
      <c r="V13" s="95"/>
      <c r="W13" s="95"/>
      <c r="X13" s="95"/>
      <c r="Y13" s="112"/>
      <c r="Z13" s="112"/>
      <c r="AA13" s="139"/>
      <c r="AB13" s="229"/>
    </row>
    <row r="14" spans="1:28" ht="12">
      <c r="A14" s="99"/>
      <c r="B14" s="80" t="s">
        <v>260</v>
      </c>
      <c r="C14" s="141">
        <f>C10</f>
        <v>22.56</v>
      </c>
      <c r="D14" s="101" t="str">
        <f>D12</f>
        <v>×</v>
      </c>
      <c r="E14" s="101">
        <f>E10</f>
        <v>3</v>
      </c>
      <c r="F14" s="101" t="str">
        <f>F12</f>
        <v>×</v>
      </c>
      <c r="G14" s="101">
        <f>'土石流時4-1'!B9</f>
        <v>1.5</v>
      </c>
      <c r="H14" s="90"/>
      <c r="I14" s="90"/>
      <c r="J14" s="79"/>
      <c r="K14" s="79"/>
      <c r="L14" s="79"/>
      <c r="M14" s="227">
        <f>C14*E14*G14</f>
        <v>101.52</v>
      </c>
      <c r="N14" s="227"/>
      <c r="O14" s="141">
        <f>O10</f>
        <v>0.35</v>
      </c>
      <c r="P14" s="101" t="s">
        <v>31</v>
      </c>
      <c r="Q14" s="101">
        <f>Q12</f>
        <v>11</v>
      </c>
      <c r="R14" s="101" t="s">
        <v>17</v>
      </c>
      <c r="S14" s="110">
        <v>2</v>
      </c>
      <c r="T14" s="101" t="s">
        <v>31</v>
      </c>
      <c r="U14" s="101">
        <f>E14</f>
        <v>3</v>
      </c>
      <c r="V14" s="79"/>
      <c r="W14" s="79"/>
      <c r="X14" s="79"/>
      <c r="Y14" s="103"/>
      <c r="Z14" s="101" t="s">
        <v>10</v>
      </c>
      <c r="AA14" s="142">
        <f>Q14*O14+U14/S14</f>
        <v>5.35</v>
      </c>
      <c r="AB14" s="228">
        <f>ROUND(AA14*M14+AA14*N14,2)</f>
        <v>543.13</v>
      </c>
    </row>
    <row r="15" spans="1:28" ht="12">
      <c r="A15" s="93"/>
      <c r="B15" s="94"/>
      <c r="C15" s="111"/>
      <c r="D15" s="112"/>
      <c r="E15" s="112"/>
      <c r="F15" s="112"/>
      <c r="G15" s="112"/>
      <c r="H15" s="112"/>
      <c r="I15" s="95"/>
      <c r="J15" s="95"/>
      <c r="K15" s="95"/>
      <c r="L15" s="112"/>
      <c r="M15" s="97"/>
      <c r="N15" s="97"/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39"/>
      <c r="AB15" s="229"/>
    </row>
    <row r="16" spans="1:28" ht="12">
      <c r="A16" s="88" t="s">
        <v>34</v>
      </c>
      <c r="B16" s="80" t="s">
        <v>35</v>
      </c>
      <c r="C16" s="119"/>
      <c r="D16" s="103"/>
      <c r="E16" s="103"/>
      <c r="F16" s="103"/>
      <c r="G16" s="103"/>
      <c r="H16" s="103"/>
      <c r="I16" s="79"/>
      <c r="J16" s="79"/>
      <c r="K16" s="79"/>
      <c r="L16" s="103"/>
      <c r="M16" s="227"/>
      <c r="N16" s="227"/>
      <c r="O16" s="119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42"/>
      <c r="AB16" s="228"/>
    </row>
    <row r="17" spans="1:28" ht="13.5">
      <c r="A17" s="93"/>
      <c r="B17" s="94"/>
      <c r="C17" s="134">
        <v>1</v>
      </c>
      <c r="D17" s="112"/>
      <c r="E17" s="112"/>
      <c r="F17" s="112"/>
      <c r="G17" s="112"/>
      <c r="H17" s="112"/>
      <c r="I17" s="95"/>
      <c r="J17" s="114">
        <v>2</v>
      </c>
      <c r="K17" s="95"/>
      <c r="L17" s="114"/>
      <c r="M17" s="97"/>
      <c r="N17" s="97"/>
      <c r="O17" s="134">
        <v>1</v>
      </c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39"/>
      <c r="AB17" s="229"/>
    </row>
    <row r="18" spans="1:28" ht="12">
      <c r="A18" s="99"/>
      <c r="B18" s="80" t="s">
        <v>36</v>
      </c>
      <c r="C18" s="100">
        <v>2</v>
      </c>
      <c r="D18" s="101" t="s">
        <v>31</v>
      </c>
      <c r="E18" s="101">
        <f>'土石流時4-1'!K47</f>
        <v>11.77</v>
      </c>
      <c r="F18" s="101" t="s">
        <v>31</v>
      </c>
      <c r="G18" s="101">
        <f>'土石流時4-1'!I24</f>
        <v>0.35</v>
      </c>
      <c r="H18" s="101" t="s">
        <v>261</v>
      </c>
      <c r="I18" s="101">
        <f>'土石流時4-1'!B22</f>
        <v>11</v>
      </c>
      <c r="J18" s="101"/>
      <c r="K18" s="101"/>
      <c r="L18" s="79"/>
      <c r="M18" s="227">
        <f>E18*G18*I18^J17/C18</f>
        <v>249.23</v>
      </c>
      <c r="N18" s="227"/>
      <c r="O18" s="100">
        <v>3</v>
      </c>
      <c r="P18" s="101" t="s">
        <v>31</v>
      </c>
      <c r="Q18" s="101">
        <f>G18</f>
        <v>0.35</v>
      </c>
      <c r="R18" s="101" t="s">
        <v>262</v>
      </c>
      <c r="S18" s="101">
        <f>I18</f>
        <v>11</v>
      </c>
      <c r="T18" s="101"/>
      <c r="U18" s="101"/>
      <c r="V18" s="79"/>
      <c r="W18" s="103"/>
      <c r="X18" s="103"/>
      <c r="Y18" s="103"/>
      <c r="Z18" s="101" t="s">
        <v>10</v>
      </c>
      <c r="AA18" s="142">
        <f>Q18*S18/O18</f>
        <v>1.28</v>
      </c>
      <c r="AB18" s="228">
        <f>ROUND(AA18*M18+AA18*N18,2)</f>
        <v>319.01</v>
      </c>
    </row>
    <row r="19" spans="1:28" ht="13.5">
      <c r="A19" s="93"/>
      <c r="B19" s="94"/>
      <c r="C19" s="134">
        <v>1</v>
      </c>
      <c r="D19" s="112"/>
      <c r="E19" s="112"/>
      <c r="F19" s="112"/>
      <c r="G19" s="95"/>
      <c r="H19" s="114">
        <v>2</v>
      </c>
      <c r="I19" s="95"/>
      <c r="J19" s="114"/>
      <c r="K19" s="95"/>
      <c r="L19" s="95"/>
      <c r="M19" s="97"/>
      <c r="N19" s="97"/>
      <c r="O19" s="134">
        <v>1</v>
      </c>
      <c r="P19" s="112"/>
      <c r="Q19" s="143"/>
      <c r="R19" s="143"/>
      <c r="S19" s="143"/>
      <c r="T19" s="112"/>
      <c r="U19" s="112"/>
      <c r="V19" s="112"/>
      <c r="W19" s="112"/>
      <c r="X19" s="112"/>
      <c r="Y19" s="112"/>
      <c r="Z19" s="112"/>
      <c r="AA19" s="139"/>
      <c r="AB19" s="229"/>
    </row>
    <row r="20" spans="1:28" ht="12">
      <c r="A20" s="99"/>
      <c r="B20" s="80" t="s">
        <v>40</v>
      </c>
      <c r="C20" s="100">
        <v>2</v>
      </c>
      <c r="D20" s="101" t="s">
        <v>31</v>
      </c>
      <c r="E20" s="101">
        <f>E18</f>
        <v>11.77</v>
      </c>
      <c r="F20" s="101" t="s">
        <v>263</v>
      </c>
      <c r="G20" s="101">
        <f>I18</f>
        <v>11</v>
      </c>
      <c r="H20" s="101"/>
      <c r="I20" s="101"/>
      <c r="J20" s="79"/>
      <c r="K20" s="79"/>
      <c r="L20" s="79"/>
      <c r="M20" s="227"/>
      <c r="N20" s="227">
        <f>E20*G20^H19/C20</f>
        <v>712.09</v>
      </c>
      <c r="O20" s="100">
        <v>3</v>
      </c>
      <c r="P20" s="101" t="s">
        <v>264</v>
      </c>
      <c r="Q20" s="101">
        <f>G20</f>
        <v>11</v>
      </c>
      <c r="R20" s="101"/>
      <c r="S20" s="101"/>
      <c r="T20" s="79"/>
      <c r="U20" s="103"/>
      <c r="V20" s="103"/>
      <c r="W20" s="103"/>
      <c r="X20" s="103"/>
      <c r="Y20" s="103"/>
      <c r="Z20" s="101" t="s">
        <v>10</v>
      </c>
      <c r="AA20" s="142">
        <f>Q20/O20</f>
        <v>3.67</v>
      </c>
      <c r="AB20" s="228">
        <f>ROUND(AA20*M20+AA20*N20,2)</f>
        <v>2613.37</v>
      </c>
    </row>
    <row r="21" spans="1:28" ht="12">
      <c r="A21" s="93"/>
      <c r="B21" s="94"/>
      <c r="C21" s="111"/>
      <c r="D21" s="112"/>
      <c r="E21" s="112"/>
      <c r="F21" s="112"/>
      <c r="G21" s="112"/>
      <c r="H21" s="95"/>
      <c r="I21" s="95"/>
      <c r="J21" s="95"/>
      <c r="K21" s="95"/>
      <c r="L21" s="95"/>
      <c r="M21" s="97"/>
      <c r="N21" s="97"/>
      <c r="O21" s="134">
        <v>1</v>
      </c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39"/>
      <c r="AB21" s="229"/>
    </row>
    <row r="22" spans="1:28" ht="12">
      <c r="A22" s="99"/>
      <c r="B22" s="80" t="s">
        <v>41</v>
      </c>
      <c r="C22" s="141">
        <f>'土石流時4-1'!T11</f>
        <v>0.6</v>
      </c>
      <c r="D22" s="101" t="s">
        <v>31</v>
      </c>
      <c r="E22" s="101">
        <f>E20</f>
        <v>11.77</v>
      </c>
      <c r="F22" s="101" t="s">
        <v>265</v>
      </c>
      <c r="G22" s="101">
        <f>G20</f>
        <v>11</v>
      </c>
      <c r="H22" s="101"/>
      <c r="I22" s="101"/>
      <c r="J22" s="79"/>
      <c r="K22" s="79"/>
      <c r="L22" s="79"/>
      <c r="M22" s="227"/>
      <c r="N22" s="227">
        <f>E22*G22*C22</f>
        <v>77.68</v>
      </c>
      <c r="O22" s="100">
        <v>2</v>
      </c>
      <c r="P22" s="101" t="s">
        <v>264</v>
      </c>
      <c r="Q22" s="101">
        <f>G22</f>
        <v>11</v>
      </c>
      <c r="R22" s="101"/>
      <c r="S22" s="101"/>
      <c r="T22" s="79"/>
      <c r="U22" s="103"/>
      <c r="V22" s="103"/>
      <c r="W22" s="103"/>
      <c r="X22" s="103"/>
      <c r="Y22" s="103"/>
      <c r="Z22" s="101" t="s">
        <v>10</v>
      </c>
      <c r="AA22" s="142">
        <f>Q22/O22</f>
        <v>5.5</v>
      </c>
      <c r="AB22" s="228">
        <f>ROUND(AA22*M22+AA22*N22,2)</f>
        <v>427.24</v>
      </c>
    </row>
    <row r="23" spans="1:28" ht="12">
      <c r="A23" s="93"/>
      <c r="B23" s="94"/>
      <c r="C23" s="111"/>
      <c r="D23" s="112"/>
      <c r="E23" s="112"/>
      <c r="F23" s="112"/>
      <c r="G23" s="107"/>
      <c r="H23" s="112"/>
      <c r="I23" s="112"/>
      <c r="J23" s="95"/>
      <c r="K23" s="95"/>
      <c r="L23" s="95"/>
      <c r="M23" s="97"/>
      <c r="N23" s="97"/>
      <c r="O23" s="111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39"/>
      <c r="AB23" s="229"/>
    </row>
    <row r="24" spans="1:28" ht="12">
      <c r="A24" s="88" t="s">
        <v>52</v>
      </c>
      <c r="B24" s="80" t="s">
        <v>53</v>
      </c>
      <c r="C24" s="109"/>
      <c r="D24" s="103"/>
      <c r="E24" s="90"/>
      <c r="F24" s="103"/>
      <c r="G24" s="90"/>
      <c r="H24" s="103"/>
      <c r="I24" s="103"/>
      <c r="J24" s="79"/>
      <c r="K24" s="79"/>
      <c r="L24" s="79"/>
      <c r="M24" s="227"/>
      <c r="N24" s="227"/>
      <c r="O24" s="109"/>
      <c r="P24" s="103"/>
      <c r="Q24" s="90"/>
      <c r="R24" s="103"/>
      <c r="S24" s="90"/>
      <c r="T24" s="103"/>
      <c r="U24" s="103"/>
      <c r="V24" s="103"/>
      <c r="W24" s="103"/>
      <c r="X24" s="103"/>
      <c r="Y24" s="103"/>
      <c r="Z24" s="103"/>
      <c r="AA24" s="142"/>
      <c r="AB24" s="228"/>
    </row>
    <row r="25" spans="1:28" ht="13.5">
      <c r="A25" s="93"/>
      <c r="B25" s="94"/>
      <c r="C25" s="134">
        <v>1</v>
      </c>
      <c r="D25" s="112"/>
      <c r="E25" s="112"/>
      <c r="F25" s="112"/>
      <c r="G25" s="112"/>
      <c r="H25" s="112"/>
      <c r="I25" s="95"/>
      <c r="J25" s="114">
        <v>2</v>
      </c>
      <c r="K25" s="95"/>
      <c r="L25" s="114"/>
      <c r="M25" s="97"/>
      <c r="N25" s="97"/>
      <c r="O25" s="134">
        <v>1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39"/>
      <c r="AB25" s="229"/>
    </row>
    <row r="26" spans="1:28" ht="12" customHeight="1">
      <c r="A26" s="99"/>
      <c r="B26" s="80" t="s">
        <v>54</v>
      </c>
      <c r="C26" s="100">
        <v>2</v>
      </c>
      <c r="D26" s="101" t="s">
        <v>31</v>
      </c>
      <c r="E26" s="101">
        <f>'土石流時4-1'!K48</f>
        <v>8.24</v>
      </c>
      <c r="F26" s="101" t="s">
        <v>31</v>
      </c>
      <c r="G26" s="101">
        <f>G18</f>
        <v>0.35</v>
      </c>
      <c r="H26" s="101" t="s">
        <v>265</v>
      </c>
      <c r="I26" s="101">
        <f>I18</f>
        <v>11</v>
      </c>
      <c r="J26" s="101"/>
      <c r="K26" s="101"/>
      <c r="L26" s="79"/>
      <c r="M26" s="227">
        <f>E26*G26*I26^J25/C26</f>
        <v>174.48</v>
      </c>
      <c r="N26" s="227"/>
      <c r="O26" s="100">
        <v>3</v>
      </c>
      <c r="P26" s="101" t="s">
        <v>31</v>
      </c>
      <c r="Q26" s="101">
        <f>G26</f>
        <v>0.35</v>
      </c>
      <c r="R26" s="101" t="s">
        <v>266</v>
      </c>
      <c r="S26" s="101">
        <f>I26</f>
        <v>11</v>
      </c>
      <c r="T26" s="101"/>
      <c r="U26" s="101"/>
      <c r="V26" s="79"/>
      <c r="W26" s="103"/>
      <c r="X26" s="103"/>
      <c r="Y26" s="103"/>
      <c r="Z26" s="101" t="s">
        <v>10</v>
      </c>
      <c r="AA26" s="142">
        <f>Q26*S26/O26</f>
        <v>1.28</v>
      </c>
      <c r="AB26" s="228">
        <f>ROUND(AA26*M26+AA26*N26,2)</f>
        <v>223.33</v>
      </c>
    </row>
    <row r="27" spans="1:28" ht="13.5">
      <c r="A27" s="93"/>
      <c r="B27" s="94"/>
      <c r="C27" s="134">
        <v>1</v>
      </c>
      <c r="D27" s="112"/>
      <c r="E27" s="112"/>
      <c r="F27" s="112"/>
      <c r="G27" s="112"/>
      <c r="H27" s="112"/>
      <c r="I27" s="95"/>
      <c r="J27" s="114">
        <v>2</v>
      </c>
      <c r="K27" s="95"/>
      <c r="L27" s="114"/>
      <c r="M27" s="97"/>
      <c r="N27" s="230"/>
      <c r="O27" s="134">
        <v>1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39"/>
      <c r="AB27" s="229"/>
    </row>
    <row r="28" spans="1:28" ht="12">
      <c r="A28" s="99"/>
      <c r="B28" s="80" t="s">
        <v>55</v>
      </c>
      <c r="C28" s="100">
        <v>2</v>
      </c>
      <c r="D28" s="101" t="s">
        <v>31</v>
      </c>
      <c r="E28" s="101">
        <f>'土石流時4-1'!K51</f>
        <v>0.3</v>
      </c>
      <c r="F28" s="101" t="s">
        <v>31</v>
      </c>
      <c r="G28" s="101">
        <f>E26</f>
        <v>8.24</v>
      </c>
      <c r="H28" s="101" t="s">
        <v>267</v>
      </c>
      <c r="I28" s="101">
        <f>I26</f>
        <v>11</v>
      </c>
      <c r="J28" s="101"/>
      <c r="K28" s="101"/>
      <c r="L28" s="79"/>
      <c r="M28" s="227"/>
      <c r="N28" s="227">
        <f>E28*G28*I28^J27/C28</f>
        <v>149.56</v>
      </c>
      <c r="O28" s="100">
        <v>3</v>
      </c>
      <c r="P28" s="101" t="s">
        <v>31</v>
      </c>
      <c r="Q28" s="101">
        <f>I28</f>
        <v>11</v>
      </c>
      <c r="R28" s="101"/>
      <c r="S28" s="101"/>
      <c r="T28" s="79"/>
      <c r="U28" s="103"/>
      <c r="V28" s="103"/>
      <c r="W28" s="103"/>
      <c r="X28" s="103"/>
      <c r="Y28" s="103"/>
      <c r="Z28" s="101" t="s">
        <v>10</v>
      </c>
      <c r="AA28" s="142">
        <f>Q28/O28</f>
        <v>3.67</v>
      </c>
      <c r="AB28" s="228">
        <f>ROUND(AA28*M28+AA28*N28,2)</f>
        <v>548.89</v>
      </c>
    </row>
    <row r="29" spans="1:28" ht="13.5">
      <c r="A29" s="93"/>
      <c r="B29" s="94"/>
      <c r="C29" s="111"/>
      <c r="D29" s="112"/>
      <c r="E29" s="112"/>
      <c r="F29" s="112"/>
      <c r="G29" s="112"/>
      <c r="H29" s="112"/>
      <c r="I29" s="95"/>
      <c r="J29" s="114"/>
      <c r="K29" s="95"/>
      <c r="L29" s="95"/>
      <c r="M29" s="230"/>
      <c r="N29" s="230"/>
      <c r="O29" s="134">
        <v>1</v>
      </c>
      <c r="P29" s="112"/>
      <c r="Q29" s="143"/>
      <c r="R29" s="143"/>
      <c r="S29" s="143"/>
      <c r="T29" s="112"/>
      <c r="U29" s="112"/>
      <c r="V29" s="112"/>
      <c r="W29" s="112"/>
      <c r="X29" s="112"/>
      <c r="Y29" s="112"/>
      <c r="Z29" s="112"/>
      <c r="AA29" s="139"/>
      <c r="AB29" s="120"/>
    </row>
    <row r="30" spans="1:28" ht="12">
      <c r="A30" s="99"/>
      <c r="B30" s="80" t="s">
        <v>56</v>
      </c>
      <c r="C30" s="141">
        <f>E28</f>
        <v>0.3</v>
      </c>
      <c r="D30" s="101" t="s">
        <v>31</v>
      </c>
      <c r="E30" s="101">
        <f>'土石流時4-1'!K50</f>
        <v>7.41</v>
      </c>
      <c r="F30" s="101" t="s">
        <v>31</v>
      </c>
      <c r="G30" s="101">
        <f>'土石流時4-1'!T11</f>
        <v>0.6</v>
      </c>
      <c r="H30" s="101" t="s">
        <v>268</v>
      </c>
      <c r="I30" s="101">
        <f>I28</f>
        <v>11</v>
      </c>
      <c r="J30" s="101"/>
      <c r="K30" s="101"/>
      <c r="L30" s="79"/>
      <c r="M30" s="227"/>
      <c r="N30" s="227">
        <f>E30*G30*I30*C30</f>
        <v>14.67</v>
      </c>
      <c r="O30" s="100">
        <v>2</v>
      </c>
      <c r="P30" s="101" t="s">
        <v>31</v>
      </c>
      <c r="Q30" s="101">
        <f>I30</f>
        <v>11</v>
      </c>
      <c r="R30" s="101"/>
      <c r="S30" s="101"/>
      <c r="T30" s="79"/>
      <c r="U30" s="103"/>
      <c r="V30" s="103"/>
      <c r="W30" s="103"/>
      <c r="X30" s="103"/>
      <c r="Y30" s="103"/>
      <c r="Z30" s="101" t="s">
        <v>10</v>
      </c>
      <c r="AA30" s="142">
        <f>Q30/O30</f>
        <v>5.5</v>
      </c>
      <c r="AB30" s="228">
        <f>ROUND(AA30*M30+AA30*N30,2)</f>
        <v>80.69</v>
      </c>
    </row>
    <row r="31" spans="1:28" ht="12">
      <c r="A31" s="93"/>
      <c r="B31" s="94"/>
      <c r="C31" s="111"/>
      <c r="D31" s="112"/>
      <c r="E31" s="112"/>
      <c r="F31" s="112"/>
      <c r="G31" s="112"/>
      <c r="H31" s="112"/>
      <c r="I31" s="112"/>
      <c r="J31" s="95"/>
      <c r="K31" s="95"/>
      <c r="L31" s="95"/>
      <c r="M31" s="230"/>
      <c r="N31" s="230"/>
      <c r="O31" s="111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47"/>
      <c r="AB31" s="120"/>
    </row>
    <row r="32" spans="1:28" ht="12">
      <c r="A32" s="88" t="s">
        <v>57</v>
      </c>
      <c r="B32" s="80" t="s">
        <v>58</v>
      </c>
      <c r="C32" s="119"/>
      <c r="D32" s="103"/>
      <c r="E32" s="103"/>
      <c r="F32" s="103"/>
      <c r="G32" s="103"/>
      <c r="H32" s="103"/>
      <c r="I32" s="103"/>
      <c r="J32" s="79"/>
      <c r="K32" s="79"/>
      <c r="L32" s="79"/>
      <c r="M32" s="231"/>
      <c r="N32" s="231"/>
      <c r="O32" s="119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37"/>
      <c r="AB32" s="232"/>
    </row>
    <row r="33" spans="1:28" ht="12">
      <c r="A33" s="93"/>
      <c r="B33" s="94"/>
      <c r="C33" s="111"/>
      <c r="D33" s="112"/>
      <c r="E33" s="112"/>
      <c r="F33" s="112"/>
      <c r="G33" s="112"/>
      <c r="H33" s="112"/>
      <c r="I33" s="112"/>
      <c r="J33" s="95"/>
      <c r="K33" s="95"/>
      <c r="L33" s="95"/>
      <c r="M33" s="230"/>
      <c r="N33" s="230"/>
      <c r="O33" s="134">
        <v>1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47"/>
      <c r="AB33" s="120"/>
    </row>
    <row r="34" spans="1:28" ht="12">
      <c r="A34" s="99"/>
      <c r="B34" s="80" t="s">
        <v>269</v>
      </c>
      <c r="C34" s="141">
        <f>'土石流時4-1'!K49</f>
        <v>19.18</v>
      </c>
      <c r="D34" s="101" t="s">
        <v>31</v>
      </c>
      <c r="E34" s="101">
        <f>G30</f>
        <v>0.6</v>
      </c>
      <c r="F34" s="101" t="s">
        <v>31</v>
      </c>
      <c r="G34" s="101">
        <f>G26</f>
        <v>0.35</v>
      </c>
      <c r="H34" s="101" t="s">
        <v>270</v>
      </c>
      <c r="I34" s="101">
        <f>I30</f>
        <v>11</v>
      </c>
      <c r="J34" s="101"/>
      <c r="K34" s="101"/>
      <c r="L34" s="79"/>
      <c r="M34" s="227">
        <f>E34*G34*I34*C34</f>
        <v>44.31</v>
      </c>
      <c r="N34" s="231"/>
      <c r="O34" s="100">
        <v>2</v>
      </c>
      <c r="P34" s="101" t="s">
        <v>31</v>
      </c>
      <c r="Q34" s="101">
        <f>G34</f>
        <v>0.35</v>
      </c>
      <c r="R34" s="101" t="s">
        <v>271</v>
      </c>
      <c r="S34" s="101">
        <f>I34</f>
        <v>11</v>
      </c>
      <c r="T34" s="101"/>
      <c r="U34" s="101"/>
      <c r="V34" s="79"/>
      <c r="W34" s="103"/>
      <c r="X34" s="103"/>
      <c r="Y34" s="103"/>
      <c r="Z34" s="101" t="s">
        <v>10</v>
      </c>
      <c r="AA34" s="142">
        <f>Q34*S34/O34</f>
        <v>1.93</v>
      </c>
      <c r="AB34" s="228">
        <f>ROUND(AA34*M34+AA34*N34,2)</f>
        <v>85.52</v>
      </c>
    </row>
    <row r="35" spans="1:28" ht="12">
      <c r="A35" s="93"/>
      <c r="B35" s="94"/>
      <c r="C35" s="111"/>
      <c r="D35" s="112"/>
      <c r="E35" s="112"/>
      <c r="F35" s="112"/>
      <c r="G35" s="112"/>
      <c r="H35" s="112"/>
      <c r="I35" s="112"/>
      <c r="J35" s="95"/>
      <c r="K35" s="95"/>
      <c r="L35" s="95"/>
      <c r="M35" s="230"/>
      <c r="N35" s="230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47"/>
      <c r="AB35" s="229"/>
    </row>
    <row r="36" spans="1:28" ht="12">
      <c r="A36" s="88" t="s">
        <v>60</v>
      </c>
      <c r="B36" s="80" t="s">
        <v>61</v>
      </c>
      <c r="C36" s="119"/>
      <c r="D36" s="103"/>
      <c r="E36" s="103"/>
      <c r="F36" s="103"/>
      <c r="G36" s="103"/>
      <c r="H36" s="103"/>
      <c r="I36" s="103"/>
      <c r="J36" s="79"/>
      <c r="K36" s="79"/>
      <c r="L36" s="79"/>
      <c r="M36" s="227"/>
      <c r="N36" s="227"/>
      <c r="O36" s="119"/>
      <c r="P36" s="103"/>
      <c r="Q36" s="103"/>
      <c r="R36" s="103"/>
      <c r="S36" s="103"/>
      <c r="T36" s="233"/>
      <c r="U36" s="233"/>
      <c r="V36" s="233"/>
      <c r="W36" s="233"/>
      <c r="X36" s="103"/>
      <c r="Y36" s="103"/>
      <c r="Z36" s="103"/>
      <c r="AA36" s="137"/>
      <c r="AB36" s="228"/>
    </row>
    <row r="37" spans="1:28" ht="13.5">
      <c r="A37" s="93"/>
      <c r="B37" s="94"/>
      <c r="C37" s="134"/>
      <c r="D37" s="143"/>
      <c r="E37" s="199">
        <f>C34</f>
        <v>19.18</v>
      </c>
      <c r="F37" s="143"/>
      <c r="G37" s="143"/>
      <c r="H37" s="112"/>
      <c r="I37" s="114">
        <v>2</v>
      </c>
      <c r="J37" s="95"/>
      <c r="K37" s="95"/>
      <c r="L37" s="95"/>
      <c r="M37" s="230"/>
      <c r="N37" s="230"/>
      <c r="O37" s="111"/>
      <c r="P37" s="143"/>
      <c r="Q37" s="143">
        <f>G38</f>
        <v>0.6</v>
      </c>
      <c r="R37" s="143"/>
      <c r="S37" s="138"/>
      <c r="T37" s="129"/>
      <c r="U37" s="129"/>
      <c r="V37" s="103"/>
      <c r="W37" s="103"/>
      <c r="X37" s="112"/>
      <c r="Y37" s="112"/>
      <c r="Z37" s="112"/>
      <c r="AA37" s="147"/>
      <c r="AB37" s="120"/>
    </row>
    <row r="38" spans="1:28" ht="12">
      <c r="A38" s="99"/>
      <c r="B38" s="80" t="s">
        <v>61</v>
      </c>
      <c r="C38" s="140">
        <v>1</v>
      </c>
      <c r="D38" s="101" t="s">
        <v>31</v>
      </c>
      <c r="E38" s="199">
        <f>'土石流時4-1'!K53</f>
        <v>9.81</v>
      </c>
      <c r="F38" s="101" t="s">
        <v>31</v>
      </c>
      <c r="G38" s="101">
        <f>E34</f>
        <v>0.6</v>
      </c>
      <c r="H38" s="101" t="s">
        <v>31</v>
      </c>
      <c r="I38" s="101">
        <f>'土石流時4-1'!K45</f>
        <v>4</v>
      </c>
      <c r="J38" s="79"/>
      <c r="K38" s="79"/>
      <c r="L38" s="79"/>
      <c r="M38" s="231"/>
      <c r="N38" s="227">
        <f>E37/E38*G38*I38^I37*C38</f>
        <v>18.77</v>
      </c>
      <c r="O38" s="109">
        <f>S34</f>
        <v>11</v>
      </c>
      <c r="P38" s="79" t="s">
        <v>272</v>
      </c>
      <c r="Q38" s="95">
        <v>2</v>
      </c>
      <c r="R38" s="101"/>
      <c r="S38" s="101"/>
      <c r="T38" s="129"/>
      <c r="U38" s="129"/>
      <c r="V38" s="103"/>
      <c r="W38" s="103"/>
      <c r="X38" s="103"/>
      <c r="Y38" s="103"/>
      <c r="Z38" s="101" t="s">
        <v>10</v>
      </c>
      <c r="AA38" s="142">
        <f>O38+Q37/Q38</f>
        <v>11.3</v>
      </c>
      <c r="AB38" s="228">
        <f>ROUND(AA38*M38+AA38*N38,2)</f>
        <v>212.1</v>
      </c>
    </row>
    <row r="39" spans="1:28" ht="12">
      <c r="A39" s="93"/>
      <c r="B39" s="94"/>
      <c r="C39" s="111"/>
      <c r="D39" s="112"/>
      <c r="E39" s="112"/>
      <c r="F39" s="112"/>
      <c r="G39" s="112"/>
      <c r="H39" s="112"/>
      <c r="I39" s="95"/>
      <c r="J39" s="95"/>
      <c r="K39" s="95"/>
      <c r="L39" s="112"/>
      <c r="M39" s="230"/>
      <c r="N39" s="230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47"/>
      <c r="AB39" s="120"/>
    </row>
    <row r="40" spans="1:28" ht="12.75" thickBot="1">
      <c r="A40" s="150" t="s">
        <v>43</v>
      </c>
      <c r="B40" s="122"/>
      <c r="C40" s="123"/>
      <c r="D40" s="124"/>
      <c r="E40" s="124"/>
      <c r="F40" s="124"/>
      <c r="G40" s="124"/>
      <c r="H40" s="124"/>
      <c r="I40" s="125"/>
      <c r="J40" s="125"/>
      <c r="K40" s="125"/>
      <c r="L40" s="124"/>
      <c r="M40" s="126">
        <f>SUM(M6:M38)</f>
        <v>2064.71</v>
      </c>
      <c r="N40" s="126">
        <f>SUM(N6:N38)</f>
        <v>972.77</v>
      </c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52"/>
      <c r="AB40" s="234">
        <f>SUM(AB6:AB38)</f>
        <v>12333.15</v>
      </c>
    </row>
    <row r="41" spans="1:28" ht="12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6"/>
      <c r="N41" s="236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7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pans="2:4" ht="12" customHeight="1">
      <c r="B52" s="238"/>
      <c r="C52" s="238"/>
      <c r="D52" s="238"/>
    </row>
    <row r="53" ht="12" customHeight="1"/>
    <row r="54" ht="12" customHeight="1"/>
    <row r="55" ht="12" customHeight="1"/>
    <row r="56" ht="12">
      <c r="AC56" s="239"/>
    </row>
    <row r="57" ht="12" customHeight="1"/>
    <row r="58" ht="12">
      <c r="AC58" s="239"/>
    </row>
    <row r="59" ht="12" customHeight="1"/>
    <row r="60" ht="12">
      <c r="AC60" s="239"/>
    </row>
  </sheetData>
  <sheetProtection/>
  <mergeCells count="4">
    <mergeCell ref="A3:A4"/>
    <mergeCell ref="B3:B4"/>
    <mergeCell ref="E3:J4"/>
    <mergeCell ref="Q3:Z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L19" sqref="L19"/>
    </sheetView>
  </sheetViews>
  <sheetFormatPr defaultColWidth="9.50390625" defaultRowHeight="13.5"/>
  <cols>
    <col min="1" max="1" width="9.50390625" style="14" customWidth="1"/>
    <col min="2" max="2" width="8.625" style="14" customWidth="1"/>
    <col min="3" max="3" width="4.125" style="14" customWidth="1"/>
    <col min="4" max="4" width="9.75390625" style="14" customWidth="1"/>
    <col min="5" max="5" width="4.125" style="14" customWidth="1"/>
    <col min="6" max="6" width="7.625" style="14" customWidth="1"/>
    <col min="7" max="7" width="6.00390625" style="14" customWidth="1"/>
    <col min="8" max="8" width="7.625" style="14" customWidth="1"/>
    <col min="9" max="9" width="4.125" style="14" customWidth="1"/>
    <col min="10" max="10" width="8.625" style="14" customWidth="1"/>
    <col min="11" max="11" width="6.00390625" style="14" customWidth="1"/>
    <col min="12" max="12" width="7.625" style="14" customWidth="1"/>
    <col min="13" max="13" width="4.125" style="14" customWidth="1"/>
    <col min="14" max="14" width="7.625" style="14" customWidth="1"/>
    <col min="15" max="15" width="4.125" style="14" customWidth="1"/>
    <col min="16" max="16" width="7.625" style="14" customWidth="1"/>
    <col min="17" max="17" width="4.125" style="14" customWidth="1"/>
    <col min="18" max="18" width="7.625" style="14" customWidth="1"/>
    <col min="19" max="19" width="4.125" style="14" customWidth="1"/>
    <col min="20" max="20" width="7.625" style="14" customWidth="1"/>
    <col min="21" max="21" width="4.125" style="14" customWidth="1"/>
    <col min="22" max="24" width="9.50390625" style="14" customWidth="1"/>
    <col min="25" max="25" width="5.875" style="14" customWidth="1"/>
    <col min="26" max="16384" width="9.50390625" style="14" customWidth="1"/>
  </cols>
  <sheetData>
    <row r="1" spans="1:18" ht="16.5" customHeight="1">
      <c r="A1" s="17" t="s">
        <v>273</v>
      </c>
      <c r="R1" s="21"/>
    </row>
    <row r="2" ht="16.5" customHeight="1">
      <c r="A2" s="12"/>
    </row>
    <row r="3" spans="1:19" ht="16.5" customHeight="1">
      <c r="A3" s="316" t="s">
        <v>274</v>
      </c>
      <c r="B3" s="181" t="s">
        <v>275</v>
      </c>
      <c r="C3" s="315" t="s">
        <v>10</v>
      </c>
      <c r="D3" s="183">
        <f>'土石流時4-2'!AB40</f>
        <v>12333.15</v>
      </c>
      <c r="E3" s="315" t="s">
        <v>10</v>
      </c>
      <c r="F3" s="315">
        <f>D3/D4</f>
        <v>5.97</v>
      </c>
      <c r="G3" s="314" t="s">
        <v>11</v>
      </c>
      <c r="H3" s="129"/>
      <c r="I3" s="129"/>
      <c r="J3" s="129"/>
      <c r="K3" s="129"/>
      <c r="S3" s="21"/>
    </row>
    <row r="4" spans="1:19" ht="16.5" customHeight="1">
      <c r="A4" s="316"/>
      <c r="B4" s="185" t="s">
        <v>276</v>
      </c>
      <c r="C4" s="315"/>
      <c r="D4" s="186">
        <f>'土石流時4-2'!M40</f>
        <v>2064.71</v>
      </c>
      <c r="E4" s="315"/>
      <c r="F4" s="315"/>
      <c r="G4" s="314"/>
      <c r="H4" s="129"/>
      <c r="I4" s="129"/>
      <c r="J4" s="129"/>
      <c r="K4" s="129"/>
      <c r="S4" s="21"/>
    </row>
    <row r="5" spans="1:26" ht="16.5" customHeight="1">
      <c r="A5" s="12"/>
      <c r="B5" s="129"/>
      <c r="C5" s="129"/>
      <c r="D5" s="129"/>
      <c r="E5" s="129"/>
      <c r="F5" s="129"/>
      <c r="G5" s="129"/>
      <c r="H5" s="129"/>
      <c r="I5" s="129"/>
      <c r="J5" s="129"/>
      <c r="K5" s="129"/>
      <c r="X5" s="21"/>
      <c r="Y5" s="20"/>
      <c r="Z5" s="20"/>
    </row>
    <row r="6" spans="1:25" ht="16.5" customHeight="1">
      <c r="A6" s="12"/>
      <c r="B6" s="184">
        <v>0</v>
      </c>
      <c r="C6" s="191" t="s">
        <v>122</v>
      </c>
      <c r="D6" s="201" t="s">
        <v>135</v>
      </c>
      <c r="E6" s="191" t="s">
        <v>122</v>
      </c>
      <c r="F6" s="190" t="s">
        <v>137</v>
      </c>
      <c r="G6" s="129"/>
      <c r="H6" s="129"/>
      <c r="I6" s="129"/>
      <c r="J6" s="129"/>
      <c r="K6" s="129"/>
      <c r="Y6" s="178"/>
    </row>
    <row r="7" spans="1:18" ht="16.5" customHeight="1">
      <c r="A7" s="12"/>
      <c r="B7" s="184"/>
      <c r="C7" s="191"/>
      <c r="D7" s="201"/>
      <c r="E7" s="191"/>
      <c r="F7" s="190"/>
      <c r="G7" s="129"/>
      <c r="H7" s="129"/>
      <c r="I7" s="182"/>
      <c r="J7" s="190"/>
      <c r="K7" s="182"/>
      <c r="L7" s="177"/>
      <c r="M7" s="174"/>
      <c r="O7" s="174"/>
      <c r="P7" s="175"/>
      <c r="Q7" s="73"/>
      <c r="R7" s="73"/>
    </row>
    <row r="8" spans="1:18" ht="16.5" customHeight="1">
      <c r="A8" s="12"/>
      <c r="B8" s="184">
        <v>0</v>
      </c>
      <c r="C8" s="191" t="str">
        <f>IF(B8&lt;=D8,"≦","＞")</f>
        <v>≦</v>
      </c>
      <c r="D8" s="182">
        <f>F3</f>
        <v>5.97</v>
      </c>
      <c r="E8" s="191" t="str">
        <f>IF(D8&lt;=F8,"≦","＞")</f>
        <v>≦</v>
      </c>
      <c r="F8" s="190">
        <f>'土石流時4-1'!F39</f>
        <v>9.05</v>
      </c>
      <c r="G8" s="184" t="str">
        <f>IF(AND(B8&lt;=D8,D8&lt;=F8),"OK","OUT")</f>
        <v>OK</v>
      </c>
      <c r="H8" s="184"/>
      <c r="I8" s="184"/>
      <c r="J8" s="129"/>
      <c r="K8" s="129"/>
      <c r="M8" s="174"/>
      <c r="O8" s="174"/>
      <c r="P8" s="175"/>
      <c r="Q8" s="73"/>
      <c r="R8" s="73"/>
    </row>
    <row r="9" spans="1:18" ht="16.5" customHeight="1">
      <c r="A9" s="12"/>
      <c r="C9" s="176"/>
      <c r="D9" s="176"/>
      <c r="E9" s="176"/>
      <c r="I9" s="174"/>
      <c r="J9" s="175"/>
      <c r="K9" s="174"/>
      <c r="L9" s="177"/>
      <c r="M9" s="174"/>
      <c r="O9" s="174"/>
      <c r="P9" s="175"/>
      <c r="Q9" s="73"/>
      <c r="R9" s="73"/>
    </row>
    <row r="10" spans="1:18" ht="16.5" customHeight="1">
      <c r="A10" s="12"/>
      <c r="C10" s="15" t="s">
        <v>277</v>
      </c>
      <c r="D10" s="17" t="s">
        <v>140</v>
      </c>
      <c r="O10" s="174"/>
      <c r="P10" s="175"/>
      <c r="Q10" s="73"/>
      <c r="R10" s="73"/>
    </row>
    <row r="11" spans="3:4" ht="16.5" customHeight="1">
      <c r="C11" s="15" t="s">
        <v>278</v>
      </c>
      <c r="D11" s="17" t="s">
        <v>79</v>
      </c>
    </row>
    <row r="12" spans="1:18" ht="16.5" customHeight="1">
      <c r="A12" s="12"/>
      <c r="C12" s="15" t="s">
        <v>279</v>
      </c>
      <c r="D12" s="17" t="s">
        <v>143</v>
      </c>
      <c r="O12" s="174"/>
      <c r="P12" s="175"/>
      <c r="Q12" s="73"/>
      <c r="R12" s="73"/>
    </row>
    <row r="13" spans="3:18" ht="16.5" customHeight="1">
      <c r="C13" s="15" t="s">
        <v>280</v>
      </c>
      <c r="D13" s="17" t="s">
        <v>145</v>
      </c>
      <c r="O13" s="174"/>
      <c r="P13" s="175"/>
      <c r="Q13" s="73"/>
      <c r="R13" s="73"/>
    </row>
    <row r="14" ht="16.5" customHeight="1">
      <c r="A14" s="12"/>
    </row>
    <row r="15" ht="16.5" customHeight="1">
      <c r="A15" s="179" t="s">
        <v>281</v>
      </c>
    </row>
    <row r="16" ht="16.5" customHeight="1">
      <c r="A16" s="12"/>
    </row>
    <row r="17" spans="2:10" ht="16.5" customHeight="1">
      <c r="B17" s="316" t="s">
        <v>316</v>
      </c>
      <c r="C17" s="317" t="s">
        <v>282</v>
      </c>
      <c r="D17" s="187" t="s">
        <v>283</v>
      </c>
      <c r="E17" s="187" t="s">
        <v>284</v>
      </c>
      <c r="F17" s="187" t="s">
        <v>285</v>
      </c>
      <c r="G17" s="187" t="s">
        <v>286</v>
      </c>
      <c r="H17" s="187" t="s">
        <v>287</v>
      </c>
      <c r="I17" s="187" t="s">
        <v>284</v>
      </c>
      <c r="J17" s="187" t="s">
        <v>288</v>
      </c>
    </row>
    <row r="18" spans="2:20" ht="16.5" customHeight="1">
      <c r="B18" s="316"/>
      <c r="C18" s="317"/>
      <c r="D18" s="318" t="s">
        <v>289</v>
      </c>
      <c r="E18" s="318"/>
      <c r="F18" s="318"/>
      <c r="G18" s="318"/>
      <c r="H18" s="318"/>
      <c r="I18" s="318"/>
      <c r="J18" s="318"/>
      <c r="S18" s="15"/>
      <c r="T18" s="21"/>
    </row>
    <row r="19" spans="1:10" ht="16.5" customHeight="1">
      <c r="A19" s="173"/>
      <c r="B19" s="20"/>
      <c r="C19" s="20"/>
      <c r="D19" s="192"/>
      <c r="E19" s="129"/>
      <c r="F19" s="129"/>
      <c r="G19" s="129"/>
      <c r="H19" s="129"/>
      <c r="I19" s="129"/>
      <c r="J19" s="129"/>
    </row>
    <row r="20" spans="1:10" ht="16.5" customHeight="1">
      <c r="A20" s="173"/>
      <c r="B20" s="316"/>
      <c r="C20" s="317" t="s">
        <v>282</v>
      </c>
      <c r="D20" s="189">
        <f>'土石流時4-1'!K52</f>
        <v>0.7</v>
      </c>
      <c r="E20" s="187" t="s">
        <v>290</v>
      </c>
      <c r="F20" s="189">
        <f>D4</f>
        <v>2064.71</v>
      </c>
      <c r="G20" s="187" t="s">
        <v>272</v>
      </c>
      <c r="H20" s="193">
        <f>'土石流時4-1'!K55</f>
        <v>330</v>
      </c>
      <c r="I20" s="187" t="s">
        <v>291</v>
      </c>
      <c r="J20" s="189">
        <f>F8</f>
        <v>9.05</v>
      </c>
    </row>
    <row r="21" spans="1:10" ht="16.5" customHeight="1">
      <c r="A21" s="173"/>
      <c r="B21" s="316"/>
      <c r="C21" s="317"/>
      <c r="D21" s="319">
        <f>'土石流時4-2'!N40</f>
        <v>972.77</v>
      </c>
      <c r="E21" s="319"/>
      <c r="F21" s="319"/>
      <c r="G21" s="319"/>
      <c r="H21" s="319"/>
      <c r="I21" s="319"/>
      <c r="J21" s="319"/>
    </row>
    <row r="22" spans="1:10" ht="16.5" customHeight="1">
      <c r="A22" s="173"/>
      <c r="B22" s="20"/>
      <c r="C22" s="20"/>
      <c r="D22" s="192"/>
      <c r="E22" s="129"/>
      <c r="F22" s="129"/>
      <c r="G22" s="129"/>
      <c r="H22" s="129"/>
      <c r="I22" s="129"/>
      <c r="J22" s="129"/>
    </row>
    <row r="23" spans="1:10" ht="16.5" customHeight="1">
      <c r="A23" s="173"/>
      <c r="B23" s="20"/>
      <c r="C23" s="14" t="s">
        <v>292</v>
      </c>
      <c r="D23" s="196">
        <f>ROUNDDOWN((D20*F20+H20*J20)/D21,2)</f>
        <v>4.55</v>
      </c>
      <c r="E23" s="192" t="str">
        <f>IF(D23&gt;=F23,"≧","＜")</f>
        <v>≧</v>
      </c>
      <c r="F23" s="194">
        <f>'土石流時4-1'!K44</f>
        <v>4</v>
      </c>
      <c r="G23" s="129"/>
      <c r="H23" s="129" t="str">
        <f>IF(D23&lt;F23,"OUT","OK")</f>
        <v>OK</v>
      </c>
      <c r="I23" s="129"/>
      <c r="J23" s="129"/>
    </row>
    <row r="24" spans="3:4" ht="16.5" customHeight="1">
      <c r="C24" s="73"/>
      <c r="D24" s="73"/>
    </row>
    <row r="25" spans="3:4" ht="16.5" customHeight="1">
      <c r="C25" s="18" t="s">
        <v>293</v>
      </c>
      <c r="D25" s="172" t="s">
        <v>294</v>
      </c>
    </row>
    <row r="26" spans="1:4" ht="16.5" customHeight="1">
      <c r="A26" s="176"/>
      <c r="B26" s="73"/>
      <c r="C26" s="18" t="s">
        <v>295</v>
      </c>
      <c r="D26" s="172" t="s">
        <v>8</v>
      </c>
    </row>
    <row r="27" spans="3:18" ht="16.5" customHeight="1">
      <c r="C27" s="15" t="s">
        <v>296</v>
      </c>
      <c r="D27" s="17" t="s">
        <v>145</v>
      </c>
      <c r="O27" s="174"/>
      <c r="P27" s="175"/>
      <c r="Q27" s="73"/>
      <c r="R27" s="73"/>
    </row>
    <row r="28" spans="3:18" ht="16.5" customHeight="1">
      <c r="C28" s="15" t="s">
        <v>297</v>
      </c>
      <c r="D28" s="17" t="s">
        <v>164</v>
      </c>
      <c r="O28" s="174"/>
      <c r="P28" s="175"/>
      <c r="Q28" s="73"/>
      <c r="R28" s="73"/>
    </row>
    <row r="29" spans="3:4" ht="16.5" customHeight="1">
      <c r="C29" s="18" t="s">
        <v>298</v>
      </c>
      <c r="D29" s="172" t="s">
        <v>166</v>
      </c>
    </row>
    <row r="30" spans="3:4" ht="16.5" customHeight="1">
      <c r="C30" s="18"/>
      <c r="D30" s="172" t="s">
        <v>167</v>
      </c>
    </row>
    <row r="31" spans="1:4" ht="16.5" customHeight="1">
      <c r="A31" s="12"/>
      <c r="C31" s="18" t="s">
        <v>299</v>
      </c>
      <c r="D31" s="172" t="s">
        <v>169</v>
      </c>
    </row>
    <row r="32" spans="1:5" ht="16.5" customHeight="1">
      <c r="A32" s="12"/>
      <c r="D32" s="18"/>
      <c r="E32" s="172"/>
    </row>
    <row r="33" spans="1:5" ht="16.5" customHeight="1">
      <c r="A33" s="12"/>
      <c r="D33" s="18"/>
      <c r="E33" s="172"/>
    </row>
    <row r="34" spans="1:5" ht="16.5" customHeight="1">
      <c r="A34" s="12"/>
      <c r="D34" s="18"/>
      <c r="E34" s="172"/>
    </row>
    <row r="35" spans="1:5" ht="16.5" customHeight="1">
      <c r="A35" s="12"/>
      <c r="D35" s="18"/>
      <c r="E35" s="172"/>
    </row>
    <row r="36" spans="1:5" ht="16.5" customHeight="1">
      <c r="A36" s="12"/>
      <c r="D36" s="18"/>
      <c r="E36" s="172"/>
    </row>
    <row r="37" spans="1:5" ht="16.5" customHeight="1">
      <c r="A37" s="12"/>
      <c r="D37" s="18"/>
      <c r="E37" s="172"/>
    </row>
    <row r="38" spans="1:5" ht="16.5" customHeight="1">
      <c r="A38" s="12"/>
      <c r="D38" s="18"/>
      <c r="E38" s="172"/>
    </row>
    <row r="39" spans="1:5" ht="16.5" customHeight="1">
      <c r="A39" s="12"/>
      <c r="D39" s="18"/>
      <c r="E39" s="172"/>
    </row>
    <row r="40" spans="1:5" ht="16.5" customHeight="1">
      <c r="A40" s="12"/>
      <c r="D40" s="18"/>
      <c r="E40" s="172"/>
    </row>
    <row r="41" spans="1:5" ht="16.5" customHeight="1">
      <c r="A41" s="12"/>
      <c r="D41" s="18"/>
      <c r="E41" s="172"/>
    </row>
    <row r="42" spans="1:5" ht="16.5" customHeight="1">
      <c r="A42" s="12"/>
      <c r="D42" s="18"/>
      <c r="E42" s="172"/>
    </row>
    <row r="43" spans="1:5" ht="16.5" customHeight="1">
      <c r="A43" s="12"/>
      <c r="D43" s="18"/>
      <c r="E43" s="172"/>
    </row>
    <row r="44" spans="1:5" ht="16.5" customHeight="1">
      <c r="A44" s="12"/>
      <c r="D44" s="18"/>
      <c r="E44" s="172"/>
    </row>
    <row r="45" spans="1:5" ht="16.5" customHeight="1">
      <c r="A45" s="12"/>
      <c r="D45" s="18"/>
      <c r="E45" s="172"/>
    </row>
    <row r="46" spans="1:5" ht="16.5" customHeight="1">
      <c r="A46" s="12"/>
      <c r="D46" s="18"/>
      <c r="E46" s="172"/>
    </row>
    <row r="47" spans="1:21" ht="16.5" customHeight="1">
      <c r="A47" s="179" t="s">
        <v>123</v>
      </c>
      <c r="U47" s="21"/>
    </row>
    <row r="48" spans="1:21" ht="16.5" customHeight="1">
      <c r="A48" s="179"/>
      <c r="U48" s="21"/>
    </row>
    <row r="49" spans="1:18" ht="16.5" customHeight="1">
      <c r="A49" s="316" t="s">
        <v>13</v>
      </c>
      <c r="B49" s="320" t="s">
        <v>300</v>
      </c>
      <c r="C49" s="314" t="s">
        <v>14</v>
      </c>
      <c r="D49" s="187" t="s">
        <v>301</v>
      </c>
      <c r="E49" s="315" t="s">
        <v>10</v>
      </c>
      <c r="F49" s="321">
        <f>F3</f>
        <v>5.97</v>
      </c>
      <c r="G49" s="314" t="s">
        <v>14</v>
      </c>
      <c r="H49" s="189">
        <f>F8</f>
        <v>9.05</v>
      </c>
      <c r="I49" s="315" t="s">
        <v>10</v>
      </c>
      <c r="J49" s="321">
        <f>F49-H49/H50</f>
        <v>1.45</v>
      </c>
      <c r="K49" s="314" t="s">
        <v>11</v>
      </c>
      <c r="O49" s="174"/>
      <c r="P49" s="175"/>
      <c r="Q49" s="73"/>
      <c r="R49" s="73"/>
    </row>
    <row r="50" spans="1:18" ht="16.5" customHeight="1">
      <c r="A50" s="316"/>
      <c r="B50" s="320"/>
      <c r="C50" s="314"/>
      <c r="D50" s="129">
        <v>2</v>
      </c>
      <c r="E50" s="315"/>
      <c r="F50" s="321"/>
      <c r="G50" s="314"/>
      <c r="H50" s="129">
        <v>2</v>
      </c>
      <c r="I50" s="315"/>
      <c r="J50" s="321"/>
      <c r="K50" s="314"/>
      <c r="O50" s="174"/>
      <c r="P50" s="175"/>
      <c r="Q50" s="73"/>
      <c r="R50" s="73"/>
    </row>
    <row r="51" spans="1:9" ht="16.5" customHeight="1">
      <c r="A51" s="12"/>
      <c r="I51" s="18"/>
    </row>
    <row r="52" spans="1:16" ht="16.5" customHeight="1">
      <c r="A52" s="322" t="s">
        <v>302</v>
      </c>
      <c r="B52" s="181" t="s">
        <v>285</v>
      </c>
      <c r="C52" s="314" t="s">
        <v>16</v>
      </c>
      <c r="D52" s="314">
        <v>1</v>
      </c>
      <c r="E52" s="314" t="s">
        <v>303</v>
      </c>
      <c r="F52" s="187">
        <v>6</v>
      </c>
      <c r="G52" s="187" t="s">
        <v>18</v>
      </c>
      <c r="H52" s="187" t="s">
        <v>19</v>
      </c>
      <c r="I52" s="314" t="s">
        <v>20</v>
      </c>
      <c r="J52" s="129"/>
      <c r="P52" s="65"/>
    </row>
    <row r="53" spans="1:16" ht="16.5" customHeight="1">
      <c r="A53" s="322"/>
      <c r="B53" s="192" t="s">
        <v>304</v>
      </c>
      <c r="C53" s="314"/>
      <c r="D53" s="314"/>
      <c r="E53" s="314"/>
      <c r="F53" s="312" t="s">
        <v>304</v>
      </c>
      <c r="G53" s="312"/>
      <c r="H53" s="312"/>
      <c r="I53" s="314"/>
      <c r="J53" s="129"/>
      <c r="P53" s="65"/>
    </row>
    <row r="54" spans="1:16" ht="16.5" customHeight="1">
      <c r="A54" s="12"/>
      <c r="B54" s="129"/>
      <c r="C54" s="129"/>
      <c r="D54" s="129"/>
      <c r="E54" s="129"/>
      <c r="F54" s="129"/>
      <c r="G54" s="129"/>
      <c r="H54" s="129"/>
      <c r="I54" s="129"/>
      <c r="J54" s="129"/>
      <c r="P54" s="65"/>
    </row>
    <row r="55" spans="1:16" ht="16.5" customHeight="1">
      <c r="A55" s="313" t="s">
        <v>305</v>
      </c>
      <c r="B55" s="183">
        <f>B61</f>
        <v>2064.71</v>
      </c>
      <c r="C55" s="314" t="s">
        <v>16</v>
      </c>
      <c r="D55" s="314">
        <v>1</v>
      </c>
      <c r="E55" s="314" t="s">
        <v>306</v>
      </c>
      <c r="F55" s="187">
        <v>6</v>
      </c>
      <c r="G55" s="187" t="s">
        <v>18</v>
      </c>
      <c r="H55" s="189">
        <f>H61</f>
        <v>1.45</v>
      </c>
      <c r="I55" s="314" t="s">
        <v>21</v>
      </c>
      <c r="J55" s="321">
        <f>B55/B56*(D55-F55*H55/F56)</f>
        <v>8.82</v>
      </c>
      <c r="K55" s="323" t="s">
        <v>307</v>
      </c>
      <c r="L55" s="323"/>
      <c r="P55" s="65"/>
    </row>
    <row r="56" spans="1:16" ht="16.5" customHeight="1">
      <c r="A56" s="313"/>
      <c r="B56" s="195">
        <f>H49</f>
        <v>9.05</v>
      </c>
      <c r="C56" s="314"/>
      <c r="D56" s="314"/>
      <c r="E56" s="314"/>
      <c r="F56" s="324">
        <f>B56</f>
        <v>9.05</v>
      </c>
      <c r="G56" s="324"/>
      <c r="H56" s="324"/>
      <c r="I56" s="314"/>
      <c r="J56" s="321"/>
      <c r="K56" s="323"/>
      <c r="L56" s="323"/>
      <c r="P56" s="65"/>
    </row>
    <row r="57" spans="1:16" ht="16.5" customHeight="1">
      <c r="A57" s="18"/>
      <c r="B57" s="195"/>
      <c r="C57" s="184"/>
      <c r="D57" s="184"/>
      <c r="E57" s="184"/>
      <c r="F57" s="196"/>
      <c r="G57" s="196"/>
      <c r="H57" s="196"/>
      <c r="I57" s="184"/>
      <c r="J57" s="188"/>
      <c r="K57" s="73"/>
      <c r="L57" s="169"/>
      <c r="P57" s="65"/>
    </row>
    <row r="58" spans="1:10" ht="16.5" customHeight="1">
      <c r="A58" s="322" t="s">
        <v>308</v>
      </c>
      <c r="B58" s="181" t="s">
        <v>309</v>
      </c>
      <c r="C58" s="314" t="s">
        <v>16</v>
      </c>
      <c r="D58" s="314">
        <v>1</v>
      </c>
      <c r="E58" s="314" t="s">
        <v>17</v>
      </c>
      <c r="F58" s="187">
        <v>6</v>
      </c>
      <c r="G58" s="187" t="s">
        <v>18</v>
      </c>
      <c r="H58" s="187" t="s">
        <v>19</v>
      </c>
      <c r="I58" s="314" t="s">
        <v>20</v>
      </c>
      <c r="J58" s="129"/>
    </row>
    <row r="59" spans="1:10" ht="16.5" customHeight="1">
      <c r="A59" s="322"/>
      <c r="B59" s="192" t="s">
        <v>310</v>
      </c>
      <c r="C59" s="314"/>
      <c r="D59" s="314"/>
      <c r="E59" s="314"/>
      <c r="F59" s="312" t="s">
        <v>310</v>
      </c>
      <c r="G59" s="312"/>
      <c r="H59" s="312"/>
      <c r="I59" s="314"/>
      <c r="J59" s="129"/>
    </row>
    <row r="60" spans="1:10" ht="16.5" customHeight="1">
      <c r="A60" s="12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2" ht="16.5" customHeight="1">
      <c r="A61" s="313" t="s">
        <v>311</v>
      </c>
      <c r="B61" s="183">
        <f>D4</f>
        <v>2064.71</v>
      </c>
      <c r="C61" s="314" t="s">
        <v>16</v>
      </c>
      <c r="D61" s="314">
        <v>1</v>
      </c>
      <c r="E61" s="314" t="s">
        <v>17</v>
      </c>
      <c r="F61" s="187">
        <v>6</v>
      </c>
      <c r="G61" s="187" t="s">
        <v>18</v>
      </c>
      <c r="H61" s="189">
        <f>J49</f>
        <v>1.45</v>
      </c>
      <c r="I61" s="314" t="s">
        <v>21</v>
      </c>
      <c r="J61" s="321">
        <f>B61/B62*(D61+F61*H61/F62)</f>
        <v>447.47</v>
      </c>
      <c r="K61" s="323" t="s">
        <v>307</v>
      </c>
      <c r="L61" s="323"/>
    </row>
    <row r="62" spans="1:12" ht="16.5" customHeight="1">
      <c r="A62" s="313"/>
      <c r="B62" s="197">
        <f>B56</f>
        <v>9.05</v>
      </c>
      <c r="C62" s="314"/>
      <c r="D62" s="314"/>
      <c r="E62" s="314"/>
      <c r="F62" s="324">
        <f>B62</f>
        <v>9.05</v>
      </c>
      <c r="G62" s="324"/>
      <c r="H62" s="324"/>
      <c r="I62" s="314"/>
      <c r="J62" s="321"/>
      <c r="K62" s="323"/>
      <c r="L62" s="323"/>
    </row>
    <row r="63" spans="1:12" ht="16.5" customHeight="1">
      <c r="A63" s="18"/>
      <c r="B63" s="171"/>
      <c r="C63" s="73"/>
      <c r="D63" s="73"/>
      <c r="E63" s="73"/>
      <c r="G63" s="65"/>
      <c r="H63" s="65"/>
      <c r="I63" s="73"/>
      <c r="J63" s="170"/>
      <c r="K63" s="73"/>
      <c r="L63" s="169"/>
    </row>
    <row r="64" spans="1:12" ht="16.5" customHeight="1">
      <c r="A64" s="18"/>
      <c r="C64" s="18" t="s">
        <v>179</v>
      </c>
      <c r="D64" s="172" t="s">
        <v>181</v>
      </c>
      <c r="G64" s="73"/>
      <c r="I64" s="73"/>
      <c r="J64" s="170"/>
      <c r="K64" s="73"/>
      <c r="L64" s="169"/>
    </row>
    <row r="65" spans="1:12" ht="16.5" customHeight="1">
      <c r="A65" s="18"/>
      <c r="B65" s="73"/>
      <c r="C65" s="18" t="s">
        <v>182</v>
      </c>
      <c r="D65" s="172" t="s">
        <v>184</v>
      </c>
      <c r="G65" s="73"/>
      <c r="I65" s="73"/>
      <c r="J65" s="170"/>
      <c r="K65" s="73"/>
      <c r="L65" s="169"/>
    </row>
    <row r="66" spans="1:12" ht="16.5" customHeight="1">
      <c r="A66" s="18"/>
      <c r="C66" s="18" t="s">
        <v>15</v>
      </c>
      <c r="D66" s="16" t="s">
        <v>185</v>
      </c>
      <c r="I66" s="73"/>
      <c r="J66" s="170"/>
      <c r="K66" s="73"/>
      <c r="L66" s="169"/>
    </row>
    <row r="67" spans="1:12" ht="16.5" customHeight="1">
      <c r="A67" s="18"/>
      <c r="B67" s="171"/>
      <c r="C67" s="73"/>
      <c r="D67" s="73"/>
      <c r="E67" s="73"/>
      <c r="G67" s="65"/>
      <c r="H67" s="65"/>
      <c r="I67" s="73"/>
      <c r="J67" s="170"/>
      <c r="K67" s="73"/>
      <c r="L67" s="169"/>
    </row>
    <row r="68" spans="1:12" ht="16.5" customHeight="1">
      <c r="A68" s="18"/>
      <c r="B68" s="253" t="s">
        <v>186</v>
      </c>
      <c r="C68" s="14" t="s">
        <v>6</v>
      </c>
      <c r="D68" s="65">
        <f>J61</f>
        <v>447.47</v>
      </c>
      <c r="E68" s="192" t="str">
        <f>IF(D68&gt;=G68,"＞","≦")</f>
        <v>≦</v>
      </c>
      <c r="F68" s="180" t="s">
        <v>312</v>
      </c>
      <c r="G68" s="198">
        <f>'土石流時4-1'!K43</f>
        <v>1177</v>
      </c>
      <c r="H68" s="129" t="s">
        <v>307</v>
      </c>
      <c r="I68" s="129" t="str">
        <f>IF(G68&lt;D68,"OUT","OK")</f>
        <v>OK</v>
      </c>
      <c r="J68" s="16" t="s">
        <v>190</v>
      </c>
      <c r="K68" s="73"/>
      <c r="L68" s="169"/>
    </row>
    <row r="69" spans="1:12" ht="16.5" customHeight="1">
      <c r="A69" s="18"/>
      <c r="B69" s="171"/>
      <c r="G69" s="65"/>
      <c r="H69" s="65"/>
      <c r="I69" s="73"/>
      <c r="J69" s="203"/>
      <c r="K69" s="73"/>
      <c r="L69" s="169"/>
    </row>
    <row r="70" spans="1:12" ht="16.5" customHeight="1">
      <c r="A70" s="18"/>
      <c r="B70" s="253" t="s">
        <v>313</v>
      </c>
      <c r="C70" s="14" t="s">
        <v>314</v>
      </c>
      <c r="D70" s="65">
        <f>J61</f>
        <v>447.47</v>
      </c>
      <c r="E70" s="192" t="str">
        <f>IF(D70&gt;=G70,"＞","≦")</f>
        <v>≦</v>
      </c>
      <c r="F70" s="180" t="s">
        <v>315</v>
      </c>
      <c r="G70" s="198">
        <f>'土石流時4-1'!K56</f>
        <v>4500</v>
      </c>
      <c r="H70" s="129" t="s">
        <v>176</v>
      </c>
      <c r="I70" s="129" t="str">
        <f>IF(G70&lt;D70,"OUT","OK")</f>
        <v>OK</v>
      </c>
      <c r="J70" s="203" t="s">
        <v>192</v>
      </c>
      <c r="K70" s="73"/>
      <c r="L70" s="169"/>
    </row>
    <row r="71" spans="1:12" ht="16.5" customHeight="1">
      <c r="A71" s="18"/>
      <c r="B71" s="171"/>
      <c r="G71" s="65"/>
      <c r="H71" s="65"/>
      <c r="I71" s="73"/>
      <c r="J71" s="203"/>
      <c r="K71" s="73"/>
      <c r="L71" s="169"/>
    </row>
    <row r="72" spans="1:12" ht="16.5" customHeight="1">
      <c r="A72" s="18"/>
      <c r="B72" s="253" t="s">
        <v>193</v>
      </c>
      <c r="C72" s="14" t="s">
        <v>6</v>
      </c>
      <c r="D72" s="65">
        <f>J55</f>
        <v>8.82</v>
      </c>
      <c r="E72" s="192" t="str">
        <f>IF(D72&lt;=G72,"＜","≧")</f>
        <v>≧</v>
      </c>
      <c r="F72" s="180"/>
      <c r="G72" s="198">
        <v>0</v>
      </c>
      <c r="H72" s="129" t="s">
        <v>307</v>
      </c>
      <c r="I72" s="129" t="str">
        <f>IF(G72&lt;D72,"OK","OUT")</f>
        <v>OK</v>
      </c>
      <c r="J72" s="203" t="s">
        <v>192</v>
      </c>
      <c r="K72" s="73"/>
      <c r="L72" s="169"/>
    </row>
  </sheetData>
  <sheetProtection/>
  <mergeCells count="48">
    <mergeCell ref="A55:A56"/>
    <mergeCell ref="C55:C56"/>
    <mergeCell ref="K61:L62"/>
    <mergeCell ref="F62:H62"/>
    <mergeCell ref="A61:A62"/>
    <mergeCell ref="C61:C62"/>
    <mergeCell ref="D61:D62"/>
    <mergeCell ref="E61:E62"/>
    <mergeCell ref="I61:I62"/>
    <mergeCell ref="J61:J62"/>
    <mergeCell ref="A58:A59"/>
    <mergeCell ref="C58:C59"/>
    <mergeCell ref="D58:D59"/>
    <mergeCell ref="E58:E59"/>
    <mergeCell ref="I58:I59"/>
    <mergeCell ref="F59:H59"/>
    <mergeCell ref="D55:D56"/>
    <mergeCell ref="E55:E56"/>
    <mergeCell ref="I55:I56"/>
    <mergeCell ref="J55:J56"/>
    <mergeCell ref="J49:J50"/>
    <mergeCell ref="K49:K50"/>
    <mergeCell ref="K55:L56"/>
    <mergeCell ref="F56:H56"/>
    <mergeCell ref="A52:A53"/>
    <mergeCell ref="C52:C53"/>
    <mergeCell ref="D52:D53"/>
    <mergeCell ref="E52:E53"/>
    <mergeCell ref="I52:I53"/>
    <mergeCell ref="F53:H53"/>
    <mergeCell ref="B20:B21"/>
    <mergeCell ref="C20:C21"/>
    <mergeCell ref="D21:J21"/>
    <mergeCell ref="A49:A50"/>
    <mergeCell ref="B49:B50"/>
    <mergeCell ref="C49:C50"/>
    <mergeCell ref="E49:E50"/>
    <mergeCell ref="F49:F50"/>
    <mergeCell ref="G49:G50"/>
    <mergeCell ref="I49:I50"/>
    <mergeCell ref="A3:A4"/>
    <mergeCell ref="C3:C4"/>
    <mergeCell ref="E3:E4"/>
    <mergeCell ref="F3:F4"/>
    <mergeCell ref="G3:G4"/>
    <mergeCell ref="B17:B18"/>
    <mergeCell ref="C17:C18"/>
    <mergeCell ref="D18:J18"/>
  </mergeCells>
  <printOptions/>
  <pageMargins left="1.1811023622047245" right="0.1968503937007874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10" sqref="B10"/>
    </sheetView>
  </sheetViews>
  <sheetFormatPr defaultColWidth="8.125" defaultRowHeight="13.5"/>
  <cols>
    <col min="1" max="1" width="3.375" style="1" customWidth="1"/>
    <col min="2" max="2" width="8.125" style="1" customWidth="1"/>
    <col min="3" max="3" width="1.4921875" style="1" customWidth="1"/>
    <col min="4" max="4" width="8.125" style="1" customWidth="1"/>
    <col min="5" max="5" width="1.4921875" style="1" customWidth="1"/>
    <col min="6" max="6" width="8.625" style="1" customWidth="1"/>
    <col min="7" max="7" width="1.4921875" style="1" customWidth="1"/>
    <col min="8" max="8" width="11.375" style="1" customWidth="1"/>
    <col min="9" max="9" width="10.50390625" style="1" customWidth="1"/>
    <col min="10" max="10" width="4.25390625" style="1" customWidth="1"/>
    <col min="11" max="11" width="6.875" style="1" customWidth="1"/>
    <col min="12" max="12" width="4.25390625" style="1" customWidth="1"/>
    <col min="13" max="13" width="6.875" style="1" customWidth="1"/>
    <col min="14" max="14" width="4.25390625" style="1" customWidth="1"/>
    <col min="15" max="16384" width="8.125" style="1" customWidth="1"/>
  </cols>
  <sheetData>
    <row r="1" spans="1:9" ht="18" customHeight="1">
      <c r="A1" s="22" t="s">
        <v>77</v>
      </c>
      <c r="B1" s="23" t="str">
        <f>"安定計算（越流部洪水時）　上流勾配 1:"&amp;FIXED(I16,2)</f>
        <v>安定計算（越流部洪水時）　上流勾配 1:0.35</v>
      </c>
      <c r="C1" s="24"/>
      <c r="D1" s="24"/>
      <c r="E1" s="25"/>
      <c r="F1" s="25"/>
      <c r="G1" s="25"/>
      <c r="H1" s="25"/>
      <c r="I1" s="25"/>
    </row>
    <row r="2" ht="12" customHeight="1"/>
    <row r="3" spans="1:4" ht="18" customHeight="1">
      <c r="A3" s="14"/>
      <c r="B3" s="14" t="s">
        <v>7</v>
      </c>
      <c r="C3" s="14"/>
      <c r="D3" s="14"/>
    </row>
    <row r="4" spans="1:1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54" t="s">
        <v>90</v>
      </c>
      <c r="L5" s="166" t="s">
        <v>91</v>
      </c>
      <c r="M5" s="40"/>
      <c r="N5" s="40"/>
      <c r="O5" s="14"/>
      <c r="P5" s="14"/>
    </row>
    <row r="6" spans="1:16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55" t="s">
        <v>92</v>
      </c>
      <c r="L6" s="14"/>
      <c r="M6" s="14"/>
      <c r="N6" s="14"/>
      <c r="O6" s="14"/>
      <c r="P6" s="14"/>
    </row>
    <row r="7" spans="1:16" ht="12.75">
      <c r="A7" s="14"/>
      <c r="B7" s="14"/>
      <c r="C7" s="14"/>
      <c r="D7" s="14"/>
      <c r="E7" s="14"/>
      <c r="F7" s="14"/>
      <c r="G7" s="14"/>
      <c r="H7" s="284" t="s">
        <v>93</v>
      </c>
      <c r="I7" s="284"/>
      <c r="J7" s="14"/>
      <c r="K7" s="155"/>
      <c r="L7" s="14"/>
      <c r="M7" s="14"/>
      <c r="N7" s="14"/>
      <c r="O7" s="14"/>
      <c r="P7" s="14"/>
    </row>
    <row r="8" spans="1:16" ht="12.75">
      <c r="A8" s="14"/>
      <c r="B8" s="16" t="s">
        <v>94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14"/>
      <c r="B9" s="156">
        <v>0.5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14"/>
      <c r="B15" s="14"/>
      <c r="C15" s="14"/>
      <c r="D15" s="14"/>
      <c r="E15" s="14"/>
      <c r="F15" s="157">
        <v>0.2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4"/>
      <c r="B16" s="14"/>
      <c r="C16" s="14"/>
      <c r="D16" s="14"/>
      <c r="E16" s="14"/>
      <c r="F16" s="14"/>
      <c r="G16" s="14"/>
      <c r="H16" s="14"/>
      <c r="I16" s="158">
        <v>0.35</v>
      </c>
      <c r="J16" s="14"/>
      <c r="K16" s="14"/>
      <c r="L16" s="14"/>
      <c r="M16" s="14"/>
      <c r="N16" s="14"/>
      <c r="O16" s="14"/>
      <c r="P16" s="14"/>
    </row>
    <row r="17" spans="1:16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4"/>
      <c r="B18" s="16" t="s">
        <v>95</v>
      </c>
      <c r="C18" s="14"/>
      <c r="D18" s="14"/>
      <c r="E18" s="14"/>
      <c r="F18" s="14"/>
      <c r="G18" s="14"/>
      <c r="H18" s="14" t="s">
        <v>96</v>
      </c>
      <c r="I18" s="18" t="s">
        <v>97</v>
      </c>
      <c r="J18" s="14"/>
      <c r="K18" s="14"/>
      <c r="L18" s="14"/>
      <c r="M18" s="14"/>
      <c r="N18" s="14"/>
      <c r="O18" s="14"/>
      <c r="P18" s="14"/>
    </row>
    <row r="19" spans="1:16" ht="12.75">
      <c r="A19" s="14"/>
      <c r="B19" s="156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14"/>
      <c r="B23" s="14"/>
      <c r="C23" s="14"/>
      <c r="D23" s="14"/>
      <c r="E23" s="14"/>
      <c r="F23" s="14"/>
      <c r="G23" s="14"/>
      <c r="H23" s="14"/>
      <c r="I23" s="14"/>
      <c r="J23" s="14" t="s">
        <v>98</v>
      </c>
      <c r="K23" s="14"/>
      <c r="L23" s="14"/>
      <c r="M23" s="14"/>
      <c r="N23" s="14"/>
      <c r="O23" s="14"/>
      <c r="P23" s="14"/>
    </row>
    <row r="24" spans="1:16" ht="12.75">
      <c r="A24" s="14"/>
      <c r="B24" s="14"/>
      <c r="C24" s="14"/>
      <c r="D24" s="14"/>
      <c r="E24" s="14"/>
      <c r="F24" s="14" t="s">
        <v>65</v>
      </c>
      <c r="G24" s="14"/>
      <c r="H24" s="14"/>
      <c r="I24" s="14" t="s">
        <v>66</v>
      </c>
      <c r="J24" s="14"/>
      <c r="K24" s="14"/>
      <c r="L24" s="14"/>
      <c r="M24" s="14"/>
      <c r="N24" s="14"/>
      <c r="O24" s="14"/>
      <c r="P24" s="14"/>
    </row>
    <row r="25" spans="1:16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284" t="s">
        <v>99</v>
      </c>
      <c r="L26" s="284"/>
      <c r="M26" s="14"/>
      <c r="N26" s="14"/>
      <c r="O26" s="14"/>
      <c r="P26" s="14"/>
    </row>
    <row r="27" spans="1:16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"/>
      <c r="B32" s="14"/>
      <c r="C32" s="14"/>
      <c r="D32" s="14"/>
      <c r="E32" s="14"/>
      <c r="F32" s="16" t="s">
        <v>67</v>
      </c>
      <c r="G32" s="16"/>
      <c r="H32" s="16" t="s">
        <v>68</v>
      </c>
      <c r="I32" s="16" t="s">
        <v>69</v>
      </c>
      <c r="J32" s="14"/>
      <c r="K32" s="14"/>
      <c r="L32" s="14"/>
      <c r="M32" s="14"/>
      <c r="N32" s="14"/>
      <c r="O32" s="14"/>
      <c r="P32" s="14"/>
    </row>
    <row r="33" spans="1:16" ht="12.75">
      <c r="A33" s="14"/>
      <c r="B33" s="14"/>
      <c r="C33" s="14"/>
      <c r="D33" s="14"/>
      <c r="E33" s="14"/>
      <c r="F33" s="285">
        <f>B19*F15</f>
        <v>2.2</v>
      </c>
      <c r="G33" s="285"/>
      <c r="H33" s="61">
        <v>3</v>
      </c>
      <c r="I33" s="65">
        <f>B19*I16</f>
        <v>3.85</v>
      </c>
      <c r="J33" s="14"/>
      <c r="K33" s="14"/>
      <c r="L33" s="14"/>
      <c r="M33" s="14"/>
      <c r="N33" s="14"/>
      <c r="O33" s="14"/>
      <c r="P33" s="14"/>
    </row>
    <row r="34" spans="1:16" ht="4.5" customHeight="1">
      <c r="A34" s="14"/>
      <c r="B34" s="14"/>
      <c r="C34" s="14"/>
      <c r="D34" s="14"/>
      <c r="E34" s="14"/>
      <c r="F34" s="65"/>
      <c r="G34" s="65"/>
      <c r="H34" s="65"/>
      <c r="I34" s="65"/>
      <c r="J34" s="14"/>
      <c r="K34" s="14"/>
      <c r="L34" s="14"/>
      <c r="M34" s="14"/>
      <c r="N34" s="14"/>
      <c r="O34" s="14"/>
      <c r="P34" s="14"/>
    </row>
    <row r="35" spans="1:16" ht="4.5" customHeight="1">
      <c r="A35" s="14"/>
      <c r="B35" s="14"/>
      <c r="C35" s="14"/>
      <c r="D35" s="14"/>
      <c r="E35" s="14"/>
      <c r="F35" s="65"/>
      <c r="G35" s="65"/>
      <c r="H35" s="65"/>
      <c r="I35" s="65"/>
      <c r="J35" s="14"/>
      <c r="K35" s="14"/>
      <c r="L35" s="14"/>
      <c r="M35" s="14"/>
      <c r="N35" s="14"/>
      <c r="O35" s="14"/>
      <c r="P35" s="14"/>
    </row>
    <row r="36" spans="1:16" ht="12.75">
      <c r="A36" s="14"/>
      <c r="B36" s="14"/>
      <c r="C36" s="14"/>
      <c r="D36" s="14"/>
      <c r="E36" s="14"/>
      <c r="F36" s="65"/>
      <c r="G36" s="65"/>
      <c r="H36" s="159" t="s">
        <v>100</v>
      </c>
      <c r="I36" s="65"/>
      <c r="J36" s="14"/>
      <c r="K36" s="14"/>
      <c r="L36" s="14"/>
      <c r="M36" s="14"/>
      <c r="N36" s="14"/>
      <c r="O36" s="14"/>
      <c r="P36" s="14"/>
    </row>
    <row r="37" spans="1:16" ht="12.75">
      <c r="A37" s="14"/>
      <c r="B37" s="14"/>
      <c r="C37" s="14"/>
      <c r="D37" s="14"/>
      <c r="E37" s="14"/>
      <c r="F37" s="285">
        <f>F33+H33+I33</f>
        <v>9.05</v>
      </c>
      <c r="G37" s="285"/>
      <c r="H37" s="285"/>
      <c r="I37" s="285"/>
      <c r="J37" s="14"/>
      <c r="K37" s="14"/>
      <c r="L37" s="14"/>
      <c r="M37" s="14"/>
      <c r="N37" s="14"/>
      <c r="O37" s="14"/>
      <c r="P37" s="14"/>
    </row>
    <row r="38" spans="1:16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8" customHeight="1">
      <c r="A41" s="14"/>
      <c r="B41" s="14"/>
      <c r="C41" s="14"/>
      <c r="D41" s="14"/>
      <c r="E41" s="14"/>
      <c r="F41" s="16" t="s">
        <v>212</v>
      </c>
      <c r="G41" s="14"/>
      <c r="J41" s="14" t="s">
        <v>48</v>
      </c>
      <c r="K41" s="202" t="s">
        <v>129</v>
      </c>
      <c r="L41" s="16"/>
      <c r="M41" s="14"/>
      <c r="N41" s="14"/>
      <c r="O41" s="14"/>
      <c r="P41" s="14"/>
    </row>
    <row r="42" spans="1:16" ht="18" customHeight="1">
      <c r="A42" s="14"/>
      <c r="B42" s="14"/>
      <c r="C42" s="14"/>
      <c r="D42" s="14"/>
      <c r="E42" s="14"/>
      <c r="F42" s="17" t="s">
        <v>213</v>
      </c>
      <c r="G42" s="14"/>
      <c r="J42" s="14" t="s">
        <v>103</v>
      </c>
      <c r="K42" s="160">
        <v>1177</v>
      </c>
      <c r="L42" s="16" t="s">
        <v>104</v>
      </c>
      <c r="M42" s="14"/>
      <c r="N42" s="14"/>
      <c r="O42" s="14"/>
      <c r="P42" s="14"/>
    </row>
    <row r="43" spans="1:16" ht="18" customHeight="1">
      <c r="A43" s="14"/>
      <c r="B43" s="14"/>
      <c r="C43" s="14"/>
      <c r="D43" s="14"/>
      <c r="E43" s="14"/>
      <c r="F43" s="16" t="s">
        <v>214</v>
      </c>
      <c r="G43" s="14"/>
      <c r="J43" s="14" t="s">
        <v>49</v>
      </c>
      <c r="K43" s="62">
        <v>4</v>
      </c>
      <c r="L43" s="16"/>
      <c r="M43" s="14"/>
      <c r="N43" s="14"/>
      <c r="O43" s="14"/>
      <c r="P43" s="14"/>
    </row>
    <row r="44" spans="1:16" ht="18" customHeight="1">
      <c r="A44" s="14"/>
      <c r="B44" s="14"/>
      <c r="C44" s="14"/>
      <c r="D44" s="14"/>
      <c r="E44" s="14"/>
      <c r="F44" s="16" t="s">
        <v>210</v>
      </c>
      <c r="G44" s="14"/>
      <c r="J44" s="14" t="s">
        <v>76</v>
      </c>
      <c r="K44" s="61">
        <v>22.56</v>
      </c>
      <c r="L44" s="16" t="s">
        <v>101</v>
      </c>
      <c r="M44" s="14"/>
      <c r="N44" s="14"/>
      <c r="O44" s="14"/>
      <c r="P44" s="14"/>
    </row>
    <row r="45" spans="1:16" ht="18" customHeight="1">
      <c r="A45" s="14"/>
      <c r="B45" s="14"/>
      <c r="C45" s="14"/>
      <c r="D45" s="14"/>
      <c r="E45" s="14"/>
      <c r="F45" s="16" t="s">
        <v>211</v>
      </c>
      <c r="G45" s="14"/>
      <c r="J45" s="14" t="s">
        <v>47</v>
      </c>
      <c r="K45" s="61">
        <v>11.77</v>
      </c>
      <c r="L45" s="16" t="s">
        <v>102</v>
      </c>
      <c r="M45" s="14"/>
      <c r="N45" s="14"/>
      <c r="O45" s="14"/>
      <c r="P45" s="14"/>
    </row>
    <row r="46" spans="1:16" ht="18" customHeight="1">
      <c r="A46" s="14"/>
      <c r="B46" s="14"/>
      <c r="C46" s="14"/>
      <c r="D46" s="14"/>
      <c r="E46" s="14"/>
      <c r="F46" s="16" t="s">
        <v>215</v>
      </c>
      <c r="G46" s="14"/>
      <c r="J46" s="14" t="s">
        <v>49</v>
      </c>
      <c r="K46" s="61">
        <v>0.7</v>
      </c>
      <c r="L46" s="16"/>
      <c r="M46" s="14"/>
      <c r="N46" s="14"/>
      <c r="O46" s="14"/>
      <c r="P46" s="14"/>
    </row>
    <row r="47" spans="1:16" ht="18" customHeight="1">
      <c r="A47" s="14"/>
      <c r="B47" s="14"/>
      <c r="C47" s="14"/>
      <c r="D47" s="14"/>
      <c r="E47" s="14"/>
      <c r="F47" s="16" t="s">
        <v>216</v>
      </c>
      <c r="G47" s="14"/>
      <c r="J47" s="14" t="s">
        <v>50</v>
      </c>
      <c r="K47" s="161">
        <v>588</v>
      </c>
      <c r="L47" s="16" t="s">
        <v>105</v>
      </c>
      <c r="M47" s="14"/>
      <c r="N47" s="14"/>
      <c r="O47" s="14"/>
      <c r="P47" s="14"/>
    </row>
    <row r="48" spans="1:16" ht="18" customHeight="1">
      <c r="A48" s="14"/>
      <c r="B48" s="14"/>
      <c r="C48" s="14"/>
      <c r="D48" s="14"/>
      <c r="E48" s="14"/>
      <c r="F48" s="16" t="s">
        <v>217</v>
      </c>
      <c r="G48" s="14"/>
      <c r="J48" s="14" t="s">
        <v>50</v>
      </c>
      <c r="K48" s="161">
        <v>330</v>
      </c>
      <c r="L48" s="16" t="s">
        <v>105</v>
      </c>
      <c r="M48" s="14"/>
      <c r="N48" s="14"/>
      <c r="O48" s="14"/>
      <c r="P48" s="14"/>
    </row>
    <row r="49" spans="1:16" ht="18" customHeight="1">
      <c r="A49" s="14"/>
      <c r="B49" s="14"/>
      <c r="C49" s="14"/>
      <c r="D49" s="14"/>
      <c r="E49" s="14"/>
      <c r="F49" s="16" t="s">
        <v>218</v>
      </c>
      <c r="G49" s="14"/>
      <c r="J49" s="14" t="s">
        <v>106</v>
      </c>
      <c r="K49" s="161">
        <v>4500</v>
      </c>
      <c r="L49" s="16" t="s">
        <v>107</v>
      </c>
      <c r="M49" s="14"/>
      <c r="N49" s="14"/>
      <c r="O49" s="14"/>
      <c r="P49" s="14"/>
    </row>
    <row r="50" spans="1:16" ht="18" customHeight="1" thickBot="1">
      <c r="A50" s="14"/>
      <c r="B50" s="286" t="s">
        <v>9</v>
      </c>
      <c r="C50" s="286"/>
      <c r="D50" s="28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9.5" customHeight="1">
      <c r="A51" s="14"/>
      <c r="B51" s="287" t="s">
        <v>196</v>
      </c>
      <c r="C51" s="288"/>
      <c r="D51" s="288"/>
      <c r="E51" s="288"/>
      <c r="F51" s="289" t="s">
        <v>334</v>
      </c>
      <c r="G51" s="290"/>
      <c r="H51" s="290"/>
      <c r="I51" s="204">
        <f>'洪水1-3'!B8</f>
        <v>0</v>
      </c>
      <c r="J51" s="67" t="str">
        <f>'洪水1-3'!C8</f>
        <v>≦</v>
      </c>
      <c r="K51" s="67">
        <f>'洪水1-3'!D8</f>
        <v>6</v>
      </c>
      <c r="L51" s="67" t="str">
        <f>'洪水1-3'!E8</f>
        <v>≦</v>
      </c>
      <c r="M51" s="67">
        <f>'洪水1-3'!F8</f>
        <v>9.05</v>
      </c>
      <c r="N51" s="211" t="str">
        <f>'洪水1-3'!G8</f>
        <v>OK</v>
      </c>
      <c r="O51" s="14"/>
      <c r="P51" s="14"/>
    </row>
    <row r="52" spans="1:16" ht="19.5" customHeight="1">
      <c r="A52" s="14"/>
      <c r="B52" s="304" t="s">
        <v>197</v>
      </c>
      <c r="C52" s="305"/>
      <c r="D52" s="305"/>
      <c r="E52" s="305"/>
      <c r="F52" s="300" t="s">
        <v>198</v>
      </c>
      <c r="G52" s="301"/>
      <c r="H52" s="301"/>
      <c r="I52" s="68">
        <f>'洪水1-3'!D23</f>
        <v>5.45</v>
      </c>
      <c r="J52" s="163" t="str">
        <f>'洪水1-3'!E23</f>
        <v>≧</v>
      </c>
      <c r="K52" s="212">
        <f>'洪水1-3'!F23</f>
        <v>4</v>
      </c>
      <c r="L52" s="212" t="str">
        <f>'洪水1-3'!H23</f>
        <v>OK</v>
      </c>
      <c r="M52" s="212"/>
      <c r="N52" s="164"/>
      <c r="O52" s="14"/>
      <c r="P52" s="14"/>
    </row>
    <row r="53" spans="1:16" ht="19.5" customHeight="1">
      <c r="A53" s="14"/>
      <c r="B53" s="278" t="s">
        <v>124</v>
      </c>
      <c r="C53" s="291"/>
      <c r="D53" s="291"/>
      <c r="E53" s="292"/>
      <c r="F53" s="302" t="s">
        <v>81</v>
      </c>
      <c r="G53" s="303"/>
      <c r="H53" s="303"/>
      <c r="I53" s="68">
        <f>'洪水1-3'!D58</f>
        <v>390.71</v>
      </c>
      <c r="J53" s="69" t="str">
        <f>'洪水1-3'!E58</f>
        <v>≦</v>
      </c>
      <c r="K53" s="200">
        <f>'洪水1-3'!G58</f>
        <v>1177</v>
      </c>
      <c r="L53" s="200" t="str">
        <f>'洪水1-3'!I58</f>
        <v>OK</v>
      </c>
      <c r="M53" s="200"/>
      <c r="N53" s="165"/>
      <c r="O53" s="14"/>
      <c r="P53" s="14"/>
    </row>
    <row r="54" spans="1:16" ht="19.5" customHeight="1">
      <c r="A54" s="14"/>
      <c r="B54" s="278"/>
      <c r="C54" s="291"/>
      <c r="D54" s="291"/>
      <c r="E54" s="292"/>
      <c r="F54" s="296" t="s">
        <v>80</v>
      </c>
      <c r="G54" s="297"/>
      <c r="H54" s="297"/>
      <c r="I54" s="205">
        <f>'洪水1-3'!D60</f>
        <v>390.71</v>
      </c>
      <c r="J54" s="69" t="str">
        <f>'洪水1-3'!E60</f>
        <v>≦</v>
      </c>
      <c r="K54" s="216">
        <f>'洪水1-3'!G60</f>
        <v>4500</v>
      </c>
      <c r="L54" s="206" t="str">
        <f>'洪水1-3'!I60</f>
        <v>OK</v>
      </c>
      <c r="M54" s="206"/>
      <c r="N54" s="164"/>
      <c r="O54" s="14"/>
      <c r="P54" s="14"/>
    </row>
    <row r="55" spans="1:16" ht="19.5" customHeight="1" thickBot="1">
      <c r="A55" s="14"/>
      <c r="B55" s="293"/>
      <c r="C55" s="294"/>
      <c r="D55" s="294"/>
      <c r="E55" s="295"/>
      <c r="F55" s="298"/>
      <c r="G55" s="299"/>
      <c r="H55" s="299"/>
      <c r="I55" s="213">
        <f>'洪水1-3'!D62</f>
        <v>3.7</v>
      </c>
      <c r="J55" s="214" t="str">
        <f>'洪水1-3'!E62</f>
        <v>≧</v>
      </c>
      <c r="K55" s="215">
        <f>'洪水1-3'!G62</f>
        <v>0</v>
      </c>
      <c r="L55" s="214" t="str">
        <f>'洪水1-3'!I62</f>
        <v>OK</v>
      </c>
      <c r="M55" s="214"/>
      <c r="N55" s="70"/>
      <c r="O55" s="14"/>
      <c r="P55" s="14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</sheetData>
  <sheetProtection/>
  <mergeCells count="12">
    <mergeCell ref="B53:E55"/>
    <mergeCell ref="F54:H55"/>
    <mergeCell ref="F52:H52"/>
    <mergeCell ref="F53:H53"/>
    <mergeCell ref="B52:E52"/>
    <mergeCell ref="H7:I7"/>
    <mergeCell ref="K26:L26"/>
    <mergeCell ref="F33:G33"/>
    <mergeCell ref="F37:I37"/>
    <mergeCell ref="B50:D50"/>
    <mergeCell ref="B51:E51"/>
    <mergeCell ref="F51:H51"/>
  </mergeCells>
  <printOptions/>
  <pageMargins left="1.1811023622047245" right="0.7874015748031497" top="1.1811023622047245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1">
      <selection activeCell="L19" sqref="L19"/>
    </sheetView>
  </sheetViews>
  <sheetFormatPr defaultColWidth="9.50390625" defaultRowHeight="12" customHeight="1"/>
  <cols>
    <col min="1" max="1" width="9.75390625" style="1" customWidth="1"/>
    <col min="2" max="2" width="4.125" style="1" customWidth="1"/>
    <col min="3" max="3" width="5.75390625" style="1" customWidth="1"/>
    <col min="4" max="4" width="2.375" style="1" customWidth="1"/>
    <col min="5" max="5" width="5.75390625" style="1" customWidth="1"/>
    <col min="6" max="6" width="2.875" style="1" customWidth="1"/>
    <col min="7" max="7" width="5.75390625" style="1" customWidth="1"/>
    <col min="8" max="8" width="2.375" style="1" customWidth="1"/>
    <col min="9" max="9" width="5.75390625" style="1" customWidth="1"/>
    <col min="10" max="10" width="2.375" style="1" customWidth="1"/>
    <col min="11" max="11" width="5.75390625" style="1" customWidth="1"/>
    <col min="12" max="12" width="2.375" style="1" customWidth="1"/>
    <col min="13" max="14" width="8.75390625" style="1" customWidth="1"/>
    <col min="15" max="15" width="5.75390625" style="1" customWidth="1"/>
    <col min="16" max="16" width="2.875" style="1" customWidth="1"/>
    <col min="17" max="17" width="5.75390625" style="1" customWidth="1"/>
    <col min="18" max="18" width="2.375" style="1" customWidth="1"/>
    <col min="19" max="19" width="5.75390625" style="1" customWidth="1"/>
    <col min="20" max="20" width="2.375" style="1" customWidth="1"/>
    <col min="21" max="21" width="5.75390625" style="1" customWidth="1"/>
    <col min="22" max="22" width="2.375" style="1" customWidth="1"/>
    <col min="23" max="23" width="5.75390625" style="1" customWidth="1"/>
    <col min="24" max="24" width="2.375" style="1" customWidth="1"/>
    <col min="25" max="25" width="5.75390625" style="1" customWidth="1"/>
    <col min="26" max="26" width="2.375" style="1" customWidth="1"/>
    <col min="27" max="27" width="5.75390625" style="1" customWidth="1"/>
    <col min="28" max="28" width="9.75390625" style="1" customWidth="1"/>
    <col min="29" max="16384" width="9.50390625" style="1" customWidth="1"/>
  </cols>
  <sheetData>
    <row r="1" spans="1:27" ht="18" customHeight="1">
      <c r="A1" s="8"/>
      <c r="F1" s="14"/>
      <c r="G1" s="15" t="s">
        <v>75</v>
      </c>
      <c r="H1" s="16"/>
      <c r="I1" s="17" t="s">
        <v>126</v>
      </c>
      <c r="J1" s="14"/>
      <c r="K1" s="14"/>
      <c r="L1" s="14"/>
      <c r="M1" s="14"/>
      <c r="N1" s="14"/>
      <c r="O1" s="14"/>
      <c r="P1" s="14"/>
      <c r="Q1" s="14"/>
      <c r="U1" s="6"/>
      <c r="W1" s="9"/>
      <c r="Y1" s="6"/>
      <c r="AA1" s="7"/>
    </row>
    <row r="2" spans="6:17" ht="12" customHeight="1" thickBot="1">
      <c r="F2" s="14"/>
      <c r="G2" s="65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8" ht="18" customHeight="1">
      <c r="A3" s="306" t="s">
        <v>22</v>
      </c>
      <c r="B3" s="308" t="s">
        <v>23</v>
      </c>
      <c r="C3" s="74"/>
      <c r="D3" s="75"/>
      <c r="E3" s="310" t="s">
        <v>24</v>
      </c>
      <c r="F3" s="310"/>
      <c r="G3" s="310"/>
      <c r="H3" s="310"/>
      <c r="I3" s="310"/>
      <c r="J3" s="310"/>
      <c r="K3" s="75"/>
      <c r="L3" s="75"/>
      <c r="M3" s="76" t="s">
        <v>25</v>
      </c>
      <c r="N3" s="76" t="s">
        <v>26</v>
      </c>
      <c r="O3" s="74"/>
      <c r="P3" s="75"/>
      <c r="Q3" s="310" t="s">
        <v>27</v>
      </c>
      <c r="R3" s="310"/>
      <c r="S3" s="310"/>
      <c r="T3" s="310"/>
      <c r="U3" s="310"/>
      <c r="V3" s="310"/>
      <c r="W3" s="310"/>
      <c r="X3" s="310"/>
      <c r="Y3" s="310"/>
      <c r="Z3" s="310"/>
      <c r="AA3" s="75"/>
      <c r="AB3" s="77" t="s">
        <v>72</v>
      </c>
    </row>
    <row r="4" spans="1:28" ht="18" customHeight="1" thickBot="1">
      <c r="A4" s="307"/>
      <c r="B4" s="309"/>
      <c r="C4" s="78"/>
      <c r="D4" s="79"/>
      <c r="E4" s="311"/>
      <c r="F4" s="311"/>
      <c r="G4" s="311"/>
      <c r="H4" s="311"/>
      <c r="I4" s="311"/>
      <c r="J4" s="311"/>
      <c r="K4" s="79"/>
      <c r="L4" s="79"/>
      <c r="M4" s="80" t="s">
        <v>44</v>
      </c>
      <c r="N4" s="80" t="s">
        <v>45</v>
      </c>
      <c r="O4" s="78"/>
      <c r="P4" s="79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79"/>
      <c r="AB4" s="81" t="s">
        <v>46</v>
      </c>
    </row>
    <row r="5" spans="1:29" ht="13.5" thickTop="1">
      <c r="A5" s="82"/>
      <c r="B5" s="83"/>
      <c r="C5" s="83"/>
      <c r="D5" s="84"/>
      <c r="E5" s="84"/>
      <c r="F5" s="84"/>
      <c r="G5" s="84"/>
      <c r="H5" s="84"/>
      <c r="I5" s="85"/>
      <c r="J5" s="84"/>
      <c r="K5" s="84"/>
      <c r="L5" s="84"/>
      <c r="M5" s="86"/>
      <c r="N5" s="86"/>
      <c r="O5" s="83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7"/>
      <c r="AC5" s="5"/>
    </row>
    <row r="6" spans="1:29" ht="12.75">
      <c r="A6" s="88" t="s">
        <v>28</v>
      </c>
      <c r="B6" s="80" t="s">
        <v>29</v>
      </c>
      <c r="C6" s="89"/>
      <c r="D6" s="79"/>
      <c r="E6" s="90"/>
      <c r="F6" s="79"/>
      <c r="G6" s="90"/>
      <c r="H6" s="79"/>
      <c r="I6" s="90"/>
      <c r="J6" s="79"/>
      <c r="K6" s="79"/>
      <c r="L6" s="79"/>
      <c r="M6" s="91"/>
      <c r="N6" s="91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92"/>
      <c r="AC6" s="4"/>
    </row>
    <row r="7" spans="1:28" ht="12" customHeight="1">
      <c r="A7" s="93"/>
      <c r="B7" s="94"/>
      <c r="C7" s="94">
        <v>1</v>
      </c>
      <c r="D7" s="95"/>
      <c r="E7" s="95"/>
      <c r="F7" s="95"/>
      <c r="G7" s="95"/>
      <c r="H7" s="95"/>
      <c r="I7" s="96">
        <v>2</v>
      </c>
      <c r="J7" s="95"/>
      <c r="K7" s="95"/>
      <c r="L7" s="95"/>
      <c r="M7" s="97"/>
      <c r="N7" s="97"/>
      <c r="O7" s="94">
        <v>2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8"/>
    </row>
    <row r="8" spans="1:28" ht="12.75">
      <c r="A8" s="99"/>
      <c r="B8" s="80" t="s">
        <v>30</v>
      </c>
      <c r="C8" s="100">
        <v>2</v>
      </c>
      <c r="D8" s="101" t="s">
        <v>31</v>
      </c>
      <c r="E8" s="90">
        <f>'洪水1-1'!K44</f>
        <v>22.56</v>
      </c>
      <c r="F8" s="101" t="s">
        <v>31</v>
      </c>
      <c r="G8" s="90">
        <f>'洪水1-1'!I16</f>
        <v>0.35</v>
      </c>
      <c r="H8" s="101" t="s">
        <v>31</v>
      </c>
      <c r="I8" s="90">
        <f>'洪水1-1'!B19</f>
        <v>11</v>
      </c>
      <c r="J8" s="79"/>
      <c r="K8" s="79"/>
      <c r="L8" s="79"/>
      <c r="M8" s="102">
        <f>ROUND(E8*G8*POWER(I8,2)/C8,2)</f>
        <v>477.71</v>
      </c>
      <c r="N8" s="102"/>
      <c r="O8" s="100">
        <v>3</v>
      </c>
      <c r="P8" s="101" t="s">
        <v>31</v>
      </c>
      <c r="Q8" s="90">
        <f>G8</f>
        <v>0.35</v>
      </c>
      <c r="R8" s="101" t="s">
        <v>31</v>
      </c>
      <c r="S8" s="90">
        <f>I8</f>
        <v>11</v>
      </c>
      <c r="T8" s="103"/>
      <c r="U8" s="103"/>
      <c r="V8" s="103"/>
      <c r="W8" s="103"/>
      <c r="X8" s="103"/>
      <c r="Y8" s="103"/>
      <c r="Z8" s="101" t="s">
        <v>10</v>
      </c>
      <c r="AA8" s="104">
        <f>ROUND(2/3*Q8*S8,2)</f>
        <v>2.57</v>
      </c>
      <c r="AB8" s="105">
        <f>ROUND(AA8*M8+AA8*N8,2)</f>
        <v>1227.71</v>
      </c>
    </row>
    <row r="9" spans="1:28" ht="12.75">
      <c r="A9" s="93"/>
      <c r="B9" s="94"/>
      <c r="C9" s="94"/>
      <c r="D9" s="95"/>
      <c r="E9" s="95"/>
      <c r="F9" s="95"/>
      <c r="G9" s="95"/>
      <c r="H9" s="95"/>
      <c r="I9" s="95"/>
      <c r="J9" s="95"/>
      <c r="K9" s="95"/>
      <c r="L9" s="95"/>
      <c r="M9" s="106"/>
      <c r="N9" s="106"/>
      <c r="O9" s="94"/>
      <c r="P9" s="95"/>
      <c r="Q9" s="95"/>
      <c r="R9" s="95"/>
      <c r="S9" s="95">
        <v>1</v>
      </c>
      <c r="T9" s="95"/>
      <c r="U9" s="95"/>
      <c r="V9" s="95"/>
      <c r="W9" s="95"/>
      <c r="X9" s="95"/>
      <c r="Y9" s="95"/>
      <c r="Z9" s="95"/>
      <c r="AA9" s="107"/>
      <c r="AB9" s="108"/>
    </row>
    <row r="10" spans="1:28" ht="12.75">
      <c r="A10" s="99"/>
      <c r="B10" s="80" t="s">
        <v>32</v>
      </c>
      <c r="C10" s="109">
        <f>E8</f>
        <v>22.56</v>
      </c>
      <c r="D10" s="101" t="str">
        <f>D8</f>
        <v>×</v>
      </c>
      <c r="E10" s="90">
        <f>'洪水1-1'!H33</f>
        <v>3</v>
      </c>
      <c r="F10" s="101" t="str">
        <f>F8</f>
        <v>×</v>
      </c>
      <c r="G10" s="90">
        <f>I8</f>
        <v>11</v>
      </c>
      <c r="H10" s="90"/>
      <c r="I10" s="90"/>
      <c r="J10" s="79"/>
      <c r="K10" s="79"/>
      <c r="L10" s="79"/>
      <c r="M10" s="102">
        <f>ROUND(C10*E10*G10,2)</f>
        <v>744.48</v>
      </c>
      <c r="N10" s="102"/>
      <c r="O10" s="109">
        <f>Q8</f>
        <v>0.35</v>
      </c>
      <c r="P10" s="101" t="s">
        <v>31</v>
      </c>
      <c r="Q10" s="90">
        <f>S8</f>
        <v>11</v>
      </c>
      <c r="R10" s="101" t="s">
        <v>17</v>
      </c>
      <c r="S10" s="110">
        <v>2</v>
      </c>
      <c r="T10" s="101" t="s">
        <v>31</v>
      </c>
      <c r="U10" s="90">
        <f>E10</f>
        <v>3</v>
      </c>
      <c r="V10" s="103"/>
      <c r="W10" s="103"/>
      <c r="X10" s="103"/>
      <c r="Y10" s="103"/>
      <c r="Z10" s="101" t="s">
        <v>10</v>
      </c>
      <c r="AA10" s="104">
        <f>ROUND(O10*Q10+U10/2,2)</f>
        <v>5.35</v>
      </c>
      <c r="AB10" s="105">
        <f>ROUND(AA10*M10+AA10*N10,2)</f>
        <v>3982.97</v>
      </c>
    </row>
    <row r="11" spans="1:28" ht="13.5">
      <c r="A11" s="93"/>
      <c r="B11" s="94"/>
      <c r="C11" s="94">
        <v>1</v>
      </c>
      <c r="D11" s="95"/>
      <c r="E11" s="95"/>
      <c r="F11" s="95"/>
      <c r="G11" s="95"/>
      <c r="H11" s="95"/>
      <c r="I11" s="96">
        <v>2</v>
      </c>
      <c r="J11" s="95"/>
      <c r="K11" s="95"/>
      <c r="L11" s="95"/>
      <c r="M11" s="106"/>
      <c r="N11" s="106"/>
      <c r="O11" s="94"/>
      <c r="P11" s="95"/>
      <c r="Q11" s="95"/>
      <c r="R11" s="95"/>
      <c r="S11" s="95"/>
      <c r="T11" s="95"/>
      <c r="U11" s="95">
        <v>1</v>
      </c>
      <c r="V11" s="95"/>
      <c r="W11" s="95"/>
      <c r="X11" s="95"/>
      <c r="Y11" s="95"/>
      <c r="Z11" s="95"/>
      <c r="AA11" s="107"/>
      <c r="AB11" s="108"/>
    </row>
    <row r="12" spans="1:28" ht="12.75">
      <c r="A12" s="99"/>
      <c r="B12" s="80" t="s">
        <v>33</v>
      </c>
      <c r="C12" s="100">
        <v>2</v>
      </c>
      <c r="D12" s="101" t="str">
        <f>D10</f>
        <v>×</v>
      </c>
      <c r="E12" s="90">
        <f>C10</f>
        <v>22.56</v>
      </c>
      <c r="F12" s="101" t="str">
        <f>F10</f>
        <v>×</v>
      </c>
      <c r="G12" s="90">
        <f>'洪水1-1'!F15</f>
        <v>0.2</v>
      </c>
      <c r="H12" s="101" t="str">
        <f>H8</f>
        <v>×</v>
      </c>
      <c r="I12" s="90">
        <f>G10</f>
        <v>11</v>
      </c>
      <c r="J12" s="79"/>
      <c r="K12" s="79"/>
      <c r="L12" s="79"/>
      <c r="M12" s="102">
        <f>ROUND(E12*G12*POWER(I12,2)/C12,2)</f>
        <v>272.98</v>
      </c>
      <c r="N12" s="102"/>
      <c r="O12" s="109">
        <f>O10</f>
        <v>0.35</v>
      </c>
      <c r="P12" s="101" t="s">
        <v>31</v>
      </c>
      <c r="Q12" s="90">
        <f>Q10</f>
        <v>11</v>
      </c>
      <c r="R12" s="101" t="s">
        <v>17</v>
      </c>
      <c r="S12" s="90">
        <f>U10</f>
        <v>3</v>
      </c>
      <c r="T12" s="101" t="s">
        <v>17</v>
      </c>
      <c r="U12" s="110">
        <v>3</v>
      </c>
      <c r="V12" s="101" t="s">
        <v>31</v>
      </c>
      <c r="W12" s="90">
        <f>G12</f>
        <v>0.2</v>
      </c>
      <c r="X12" s="101" t="s">
        <v>31</v>
      </c>
      <c r="Y12" s="90">
        <f>I12</f>
        <v>11</v>
      </c>
      <c r="Z12" s="101" t="s">
        <v>10</v>
      </c>
      <c r="AA12" s="104">
        <f>ROUND(O12*Q12+S12+W12*Y12/U12,2)</f>
        <v>7.58</v>
      </c>
      <c r="AB12" s="105">
        <f>ROUND(AA12*M12+AA12*N12,2)</f>
        <v>2069.19</v>
      </c>
    </row>
    <row r="13" spans="1:28" ht="12.75">
      <c r="A13" s="93"/>
      <c r="B13" s="94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106"/>
      <c r="N13" s="106"/>
      <c r="O13" s="9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107"/>
      <c r="AB13" s="108"/>
    </row>
    <row r="14" spans="1:28" ht="12.75">
      <c r="A14" s="88" t="s">
        <v>34</v>
      </c>
      <c r="B14" s="80" t="s">
        <v>35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102"/>
      <c r="N14" s="102"/>
      <c r="O14" s="78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104"/>
      <c r="AB14" s="105"/>
    </row>
    <row r="15" spans="1:28" ht="13.5">
      <c r="A15" s="93"/>
      <c r="B15" s="94"/>
      <c r="C15" s="94">
        <v>1</v>
      </c>
      <c r="D15" s="95"/>
      <c r="E15" s="95"/>
      <c r="F15" s="95"/>
      <c r="G15" s="95"/>
      <c r="H15" s="95"/>
      <c r="I15" s="96">
        <v>2</v>
      </c>
      <c r="J15" s="95"/>
      <c r="K15" s="95"/>
      <c r="L15" s="95"/>
      <c r="M15" s="106"/>
      <c r="N15" s="106"/>
      <c r="O15" s="94">
        <v>1</v>
      </c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107"/>
      <c r="AB15" s="108"/>
    </row>
    <row r="16" spans="1:28" ht="12.75">
      <c r="A16" s="99"/>
      <c r="B16" s="80" t="s">
        <v>36</v>
      </c>
      <c r="C16" s="100">
        <v>2</v>
      </c>
      <c r="D16" s="101" t="s">
        <v>31</v>
      </c>
      <c r="E16" s="90">
        <f>'洪水1-1'!K45</f>
        <v>11.77</v>
      </c>
      <c r="F16" s="101" t="s">
        <v>31</v>
      </c>
      <c r="G16" s="90">
        <f>G8</f>
        <v>0.35</v>
      </c>
      <c r="H16" s="101" t="s">
        <v>31</v>
      </c>
      <c r="I16" s="90">
        <f>I12</f>
        <v>11</v>
      </c>
      <c r="J16" s="79"/>
      <c r="K16" s="79"/>
      <c r="L16" s="79"/>
      <c r="M16" s="102">
        <f>ROUND(E16*G16*POWER(I16,2)/C16,2)</f>
        <v>249.23</v>
      </c>
      <c r="N16" s="102"/>
      <c r="O16" s="100">
        <v>3</v>
      </c>
      <c r="P16" s="101" t="s">
        <v>31</v>
      </c>
      <c r="Q16" s="90">
        <f>Q8</f>
        <v>0.35</v>
      </c>
      <c r="R16" s="101" t="s">
        <v>31</v>
      </c>
      <c r="S16" s="90">
        <f>S8</f>
        <v>11</v>
      </c>
      <c r="T16" s="103"/>
      <c r="U16" s="103"/>
      <c r="V16" s="103"/>
      <c r="W16" s="103"/>
      <c r="X16" s="103"/>
      <c r="Y16" s="103"/>
      <c r="Z16" s="101" t="s">
        <v>10</v>
      </c>
      <c r="AA16" s="104">
        <f>ROUND(Q16*S16/O16,2)</f>
        <v>1.28</v>
      </c>
      <c r="AB16" s="105">
        <f>ROUND(AA16*M16+AA16*N16,2)</f>
        <v>319.01</v>
      </c>
    </row>
    <row r="17" spans="1:28" ht="12.75">
      <c r="A17" s="93"/>
      <c r="B17" s="94"/>
      <c r="C17" s="111"/>
      <c r="D17" s="112"/>
      <c r="E17" s="112"/>
      <c r="F17" s="112"/>
      <c r="G17" s="107"/>
      <c r="H17" s="112"/>
      <c r="I17" s="112"/>
      <c r="J17" s="95"/>
      <c r="K17" s="95"/>
      <c r="L17" s="95"/>
      <c r="M17" s="106"/>
      <c r="N17" s="106"/>
      <c r="O17" s="94">
        <v>1</v>
      </c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07"/>
      <c r="AB17" s="108"/>
    </row>
    <row r="18" spans="1:28" ht="12.75">
      <c r="A18" s="99"/>
      <c r="B18" s="80" t="s">
        <v>37</v>
      </c>
      <c r="C18" s="109">
        <f>E16</f>
        <v>11.77</v>
      </c>
      <c r="D18" s="101" t="s">
        <v>31</v>
      </c>
      <c r="E18" s="90">
        <f>'洪水1-1'!B9</f>
        <v>0.5</v>
      </c>
      <c r="F18" s="101" t="s">
        <v>38</v>
      </c>
      <c r="G18" s="90">
        <f>G16</f>
        <v>0.35</v>
      </c>
      <c r="H18" s="101" t="s">
        <v>31</v>
      </c>
      <c r="I18" s="90">
        <f>I16</f>
        <v>11</v>
      </c>
      <c r="J18" s="79" t="s">
        <v>17</v>
      </c>
      <c r="K18" s="103">
        <f>E10</f>
        <v>3</v>
      </c>
      <c r="L18" s="79" t="s">
        <v>39</v>
      </c>
      <c r="M18" s="102">
        <f>ROUND(C18*E18*(G18*I18+K18),2)</f>
        <v>40.31</v>
      </c>
      <c r="N18" s="102"/>
      <c r="O18" s="100">
        <v>2</v>
      </c>
      <c r="P18" s="101" t="s">
        <v>73</v>
      </c>
      <c r="Q18" s="90">
        <f>Q16</f>
        <v>0.35</v>
      </c>
      <c r="R18" s="101" t="s">
        <v>31</v>
      </c>
      <c r="S18" s="90">
        <f>S16</f>
        <v>11</v>
      </c>
      <c r="T18" s="113" t="s">
        <v>17</v>
      </c>
      <c r="U18" s="103">
        <f>U10</f>
        <v>3</v>
      </c>
      <c r="V18" s="113" t="s">
        <v>20</v>
      </c>
      <c r="W18" s="103"/>
      <c r="X18" s="103"/>
      <c r="Y18" s="103"/>
      <c r="Z18" s="101" t="s">
        <v>10</v>
      </c>
      <c r="AA18" s="104">
        <f>ROUND((Q18*S18+U18)*0.5,2)</f>
        <v>3.43</v>
      </c>
      <c r="AB18" s="105">
        <f>ROUND(AA18*M18+AA18*N18,2)</f>
        <v>138.26</v>
      </c>
    </row>
    <row r="19" spans="1:28" ht="13.5">
      <c r="A19" s="93"/>
      <c r="B19" s="94"/>
      <c r="C19" s="94">
        <v>1</v>
      </c>
      <c r="D19" s="112"/>
      <c r="E19" s="112"/>
      <c r="F19" s="112"/>
      <c r="G19" s="114">
        <v>2</v>
      </c>
      <c r="H19" s="112"/>
      <c r="I19" s="112"/>
      <c r="J19" s="95"/>
      <c r="K19" s="95"/>
      <c r="L19" s="95"/>
      <c r="M19" s="106"/>
      <c r="N19" s="106"/>
      <c r="O19" s="94">
        <v>1</v>
      </c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07"/>
      <c r="AB19" s="108"/>
    </row>
    <row r="20" spans="1:28" ht="12.75">
      <c r="A20" s="99"/>
      <c r="B20" s="80" t="s">
        <v>40</v>
      </c>
      <c r="C20" s="100">
        <v>2</v>
      </c>
      <c r="D20" s="101" t="s">
        <v>31</v>
      </c>
      <c r="E20" s="90">
        <f>C18</f>
        <v>11.77</v>
      </c>
      <c r="F20" s="101" t="s">
        <v>31</v>
      </c>
      <c r="G20" s="90">
        <f>I18</f>
        <v>11</v>
      </c>
      <c r="H20" s="103"/>
      <c r="I20" s="103"/>
      <c r="J20" s="79"/>
      <c r="K20" s="79"/>
      <c r="L20" s="79"/>
      <c r="M20" s="102"/>
      <c r="N20" s="102">
        <f>ROUND(E20*POWER(G20,2)/C20,2)</f>
        <v>712.09</v>
      </c>
      <c r="O20" s="100">
        <v>3</v>
      </c>
      <c r="P20" s="101" t="s">
        <v>31</v>
      </c>
      <c r="Q20" s="90">
        <f>S18</f>
        <v>11</v>
      </c>
      <c r="R20" s="103"/>
      <c r="S20" s="90"/>
      <c r="T20" s="103"/>
      <c r="U20" s="103"/>
      <c r="V20" s="103"/>
      <c r="W20" s="103"/>
      <c r="X20" s="103"/>
      <c r="Y20" s="103"/>
      <c r="Z20" s="101" t="s">
        <v>10</v>
      </c>
      <c r="AA20" s="104">
        <f>ROUND(Q20/O20,2)</f>
        <v>3.67</v>
      </c>
      <c r="AB20" s="105">
        <f>ROUND(AA20*M20+AA20*N20,2)</f>
        <v>2613.37</v>
      </c>
    </row>
    <row r="21" spans="1:28" ht="12.75">
      <c r="A21" s="93"/>
      <c r="B21" s="94"/>
      <c r="C21" s="111"/>
      <c r="D21" s="112"/>
      <c r="E21" s="112"/>
      <c r="F21" s="112"/>
      <c r="G21" s="107"/>
      <c r="H21" s="112"/>
      <c r="I21" s="112"/>
      <c r="J21" s="95"/>
      <c r="K21" s="95"/>
      <c r="L21" s="95"/>
      <c r="M21" s="106"/>
      <c r="N21" s="106"/>
      <c r="O21" s="94">
        <v>1</v>
      </c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07"/>
      <c r="AB21" s="108"/>
    </row>
    <row r="22" spans="1:28" ht="12.75">
      <c r="A22" s="99"/>
      <c r="B22" s="80" t="s">
        <v>41</v>
      </c>
      <c r="C22" s="109">
        <f>E20</f>
        <v>11.77</v>
      </c>
      <c r="D22" s="101" t="s">
        <v>31</v>
      </c>
      <c r="E22" s="90">
        <f>E18</f>
        <v>0.5</v>
      </c>
      <c r="F22" s="101" t="s">
        <v>31</v>
      </c>
      <c r="G22" s="90">
        <f>G20</f>
        <v>11</v>
      </c>
      <c r="H22" s="103"/>
      <c r="I22" s="103"/>
      <c r="J22" s="79"/>
      <c r="K22" s="79"/>
      <c r="L22" s="79"/>
      <c r="M22" s="102"/>
      <c r="N22" s="102">
        <f>ROUND(E22*G22*C22,2)</f>
        <v>64.74</v>
      </c>
      <c r="O22" s="100">
        <v>2</v>
      </c>
      <c r="P22" s="101" t="s">
        <v>31</v>
      </c>
      <c r="Q22" s="90">
        <f>Q20</f>
        <v>11</v>
      </c>
      <c r="R22" s="103"/>
      <c r="S22" s="90"/>
      <c r="T22" s="103"/>
      <c r="U22" s="103"/>
      <c r="V22" s="103"/>
      <c r="W22" s="103"/>
      <c r="X22" s="103"/>
      <c r="Y22" s="103"/>
      <c r="Z22" s="101" t="s">
        <v>10</v>
      </c>
      <c r="AA22" s="104">
        <f>ROUND(Q22/O22,2)</f>
        <v>5.5</v>
      </c>
      <c r="AB22" s="105">
        <f>ROUND(AA22*M22+AA22*N22,2)</f>
        <v>356.07</v>
      </c>
    </row>
    <row r="23" spans="1:28" ht="12.75">
      <c r="A23" s="93"/>
      <c r="B23" s="94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115"/>
      <c r="N23" s="115"/>
      <c r="O23" s="9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116"/>
    </row>
    <row r="24" spans="1:28" ht="12" customHeight="1">
      <c r="A24" s="99"/>
      <c r="B24" s="78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117"/>
      <c r="N24" s="117"/>
      <c r="O24" s="78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118"/>
    </row>
    <row r="25" spans="1:28" ht="12.75">
      <c r="A25" s="93"/>
      <c r="B25" s="94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115"/>
      <c r="N25" s="115"/>
      <c r="O25" s="9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116"/>
    </row>
    <row r="26" spans="1:28" ht="12.75">
      <c r="A26" s="99"/>
      <c r="B26" s="78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117"/>
      <c r="N26" s="117"/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118"/>
    </row>
    <row r="27" spans="1:28" ht="12.75">
      <c r="A27" s="93"/>
      <c r="B27" s="94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115"/>
      <c r="N27" s="115"/>
      <c r="O27" s="9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116"/>
    </row>
    <row r="28" spans="1:28" ht="12.75">
      <c r="A28" s="99"/>
      <c r="B28" s="78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117"/>
      <c r="N28" s="117"/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118"/>
    </row>
    <row r="29" spans="1:28" ht="12.75">
      <c r="A29" s="93"/>
      <c r="B29" s="94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115"/>
      <c r="N29" s="115"/>
      <c r="O29" s="9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16"/>
    </row>
    <row r="30" spans="1:28" ht="12.75">
      <c r="A30" s="99"/>
      <c r="B30" s="78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117"/>
      <c r="N30" s="117"/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118"/>
    </row>
    <row r="31" spans="1:28" ht="12" customHeight="1">
      <c r="A31" s="93"/>
      <c r="B31" s="94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115"/>
      <c r="N31" s="115"/>
      <c r="O31" s="9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116"/>
    </row>
    <row r="32" spans="1:28" ht="12.75">
      <c r="A32" s="99"/>
      <c r="B32" s="78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117"/>
      <c r="N32" s="117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118"/>
    </row>
    <row r="33" spans="1:28" ht="12.75">
      <c r="A33" s="93"/>
      <c r="B33" s="94"/>
      <c r="C33" s="111"/>
      <c r="D33" s="112"/>
      <c r="E33" s="112"/>
      <c r="F33" s="112"/>
      <c r="G33" s="112"/>
      <c r="H33" s="112"/>
      <c r="I33" s="112"/>
      <c r="J33" s="95"/>
      <c r="K33" s="95"/>
      <c r="L33" s="95"/>
      <c r="M33" s="106"/>
      <c r="N33" s="106"/>
      <c r="O33" s="111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08"/>
    </row>
    <row r="34" spans="1:28" ht="12.75">
      <c r="A34" s="99"/>
      <c r="B34" s="78"/>
      <c r="C34" s="119"/>
      <c r="D34" s="103"/>
      <c r="E34" s="103"/>
      <c r="F34" s="103"/>
      <c r="G34" s="103"/>
      <c r="H34" s="103"/>
      <c r="I34" s="103"/>
      <c r="J34" s="79"/>
      <c r="K34" s="79"/>
      <c r="L34" s="79"/>
      <c r="M34" s="102"/>
      <c r="N34" s="102"/>
      <c r="O34" s="119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5"/>
    </row>
    <row r="35" spans="1:28" ht="12.75">
      <c r="A35" s="93"/>
      <c r="B35" s="94"/>
      <c r="C35" s="111"/>
      <c r="D35" s="112"/>
      <c r="E35" s="112"/>
      <c r="F35" s="112"/>
      <c r="G35" s="112"/>
      <c r="H35" s="112"/>
      <c r="I35" s="112"/>
      <c r="J35" s="95"/>
      <c r="K35" s="95"/>
      <c r="L35" s="95"/>
      <c r="M35" s="106" t="s">
        <v>42</v>
      </c>
      <c r="N35" s="106" t="s">
        <v>42</v>
      </c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08" t="s">
        <v>74</v>
      </c>
    </row>
    <row r="36" spans="1:28" ht="12.75">
      <c r="A36" s="88" t="s">
        <v>43</v>
      </c>
      <c r="B36" s="78"/>
      <c r="C36" s="119"/>
      <c r="D36" s="103"/>
      <c r="E36" s="103"/>
      <c r="F36" s="103"/>
      <c r="G36" s="103"/>
      <c r="H36" s="103"/>
      <c r="I36" s="103"/>
      <c r="J36" s="79"/>
      <c r="K36" s="79"/>
      <c r="L36" s="79"/>
      <c r="M36" s="102">
        <f>SUM(M6:M34)</f>
        <v>1784.71</v>
      </c>
      <c r="N36" s="102">
        <f>SUM(N6:N34)</f>
        <v>776.83</v>
      </c>
      <c r="O36" s="119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5">
        <f>SUM(AB6:AB34)</f>
        <v>10706.58</v>
      </c>
    </row>
    <row r="37" spans="1:28" ht="12.75">
      <c r="A37" s="93"/>
      <c r="B37" s="94"/>
      <c r="C37" s="111"/>
      <c r="D37" s="112"/>
      <c r="E37" s="112"/>
      <c r="F37" s="112"/>
      <c r="G37" s="112"/>
      <c r="H37" s="112"/>
      <c r="I37" s="112"/>
      <c r="J37" s="95"/>
      <c r="K37" s="95"/>
      <c r="L37" s="95"/>
      <c r="M37" s="97"/>
      <c r="N37" s="97"/>
      <c r="O37" s="111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20"/>
    </row>
    <row r="38" spans="1:28" ht="13.5" thickBot="1">
      <c r="A38" s="121"/>
      <c r="B38" s="122"/>
      <c r="C38" s="123"/>
      <c r="D38" s="124"/>
      <c r="E38" s="124"/>
      <c r="F38" s="124"/>
      <c r="G38" s="124"/>
      <c r="H38" s="124"/>
      <c r="I38" s="124"/>
      <c r="J38" s="125"/>
      <c r="K38" s="125"/>
      <c r="L38" s="125"/>
      <c r="M38" s="126"/>
      <c r="N38" s="126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7"/>
    </row>
    <row r="39" spans="1:28" ht="12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128"/>
    </row>
    <row r="40" spans="1:28" ht="12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</row>
    <row r="41" spans="1:28" ht="12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</row>
    <row r="42" spans="1:28" ht="12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</row>
    <row r="43" spans="1:28" ht="12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</row>
    <row r="44" spans="1:28" ht="12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1:28" ht="12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</row>
    <row r="46" spans="1:28" ht="12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1:28" ht="12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</row>
    <row r="48" spans="1:28" ht="12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1:28" ht="12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1:28" ht="12" customHeight="1">
      <c r="A50" s="129"/>
      <c r="B50" s="130"/>
      <c r="C50" s="130"/>
      <c r="D50" s="130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1:28" ht="12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</row>
    <row r="52" spans="1:28" ht="12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4" ht="12.75">
      <c r="AC54" s="2"/>
    </row>
    <row r="56" ht="12.75">
      <c r="AC56" s="2"/>
    </row>
    <row r="58" ht="12.75">
      <c r="AC58" s="2"/>
    </row>
  </sheetData>
  <sheetProtection/>
  <mergeCells count="4">
    <mergeCell ref="A3:A4"/>
    <mergeCell ref="B3:B4"/>
    <mergeCell ref="E3:J4"/>
    <mergeCell ref="Q3:Z4"/>
  </mergeCells>
  <printOptions/>
  <pageMargins left="0.7874015748031497" right="0" top="0.98425196850393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31">
      <selection activeCell="L19" sqref="L19"/>
    </sheetView>
  </sheetViews>
  <sheetFormatPr defaultColWidth="9.50390625" defaultRowHeight="16.5" customHeight="1"/>
  <cols>
    <col min="1" max="1" width="9.50390625" style="14" customWidth="1"/>
    <col min="2" max="2" width="8.625" style="14" customWidth="1"/>
    <col min="3" max="3" width="4.125" style="14" customWidth="1"/>
    <col min="4" max="4" width="9.75390625" style="14" customWidth="1"/>
    <col min="5" max="5" width="4.125" style="14" customWidth="1"/>
    <col min="6" max="6" width="7.625" style="14" customWidth="1"/>
    <col min="7" max="7" width="6.00390625" style="14" customWidth="1"/>
    <col min="8" max="8" width="7.625" style="14" customWidth="1"/>
    <col min="9" max="9" width="4.125" style="14" customWidth="1"/>
    <col min="10" max="10" width="8.625" style="14" customWidth="1"/>
    <col min="11" max="11" width="6.00390625" style="14" customWidth="1"/>
    <col min="12" max="12" width="7.625" style="14" customWidth="1"/>
    <col min="13" max="13" width="4.125" style="14" customWidth="1"/>
    <col min="14" max="14" width="7.625" style="14" customWidth="1"/>
    <col min="15" max="15" width="4.125" style="14" customWidth="1"/>
    <col min="16" max="16" width="7.625" style="14" customWidth="1"/>
    <col min="17" max="17" width="4.125" style="14" customWidth="1"/>
    <col min="18" max="18" width="7.625" style="14" customWidth="1"/>
    <col min="19" max="19" width="4.125" style="14" customWidth="1"/>
    <col min="20" max="20" width="7.625" style="14" customWidth="1"/>
    <col min="21" max="21" width="4.125" style="14" customWidth="1"/>
    <col min="22" max="24" width="9.50390625" style="14" customWidth="1"/>
    <col min="25" max="25" width="5.875" style="14" customWidth="1"/>
    <col min="26" max="16384" width="9.50390625" style="14" customWidth="1"/>
  </cols>
  <sheetData>
    <row r="1" spans="1:18" ht="16.5" customHeight="1">
      <c r="A1" s="17" t="s">
        <v>130</v>
      </c>
      <c r="R1" s="21"/>
    </row>
    <row r="2" ht="16.5" customHeight="1">
      <c r="A2" s="12"/>
    </row>
    <row r="3" spans="1:19" ht="16.5" customHeight="1">
      <c r="A3" s="316" t="s">
        <v>131</v>
      </c>
      <c r="B3" s="181" t="s">
        <v>132</v>
      </c>
      <c r="C3" s="315" t="s">
        <v>10</v>
      </c>
      <c r="D3" s="183">
        <f>'洪水1-2'!AB36</f>
        <v>10706.58</v>
      </c>
      <c r="E3" s="315" t="s">
        <v>10</v>
      </c>
      <c r="F3" s="315">
        <f>D3/D4</f>
        <v>6</v>
      </c>
      <c r="G3" s="314" t="s">
        <v>11</v>
      </c>
      <c r="H3" s="129"/>
      <c r="I3" s="129"/>
      <c r="J3" s="129"/>
      <c r="K3" s="129"/>
      <c r="S3" s="21"/>
    </row>
    <row r="4" spans="1:19" ht="16.5" customHeight="1">
      <c r="A4" s="316"/>
      <c r="B4" s="185" t="s">
        <v>133</v>
      </c>
      <c r="C4" s="315"/>
      <c r="D4" s="186">
        <f>'洪水1-2'!M36</f>
        <v>1784.71</v>
      </c>
      <c r="E4" s="315"/>
      <c r="F4" s="315"/>
      <c r="G4" s="314"/>
      <c r="H4" s="129"/>
      <c r="I4" s="129"/>
      <c r="J4" s="129"/>
      <c r="K4" s="129"/>
      <c r="S4" s="21"/>
    </row>
    <row r="5" spans="1:26" ht="16.5" customHeight="1">
      <c r="A5" s="12"/>
      <c r="B5" s="129"/>
      <c r="C5" s="129"/>
      <c r="D5" s="129"/>
      <c r="E5" s="129"/>
      <c r="F5" s="129"/>
      <c r="G5" s="129"/>
      <c r="H5" s="129"/>
      <c r="I5" s="129"/>
      <c r="J5" s="129"/>
      <c r="K5" s="129"/>
      <c r="X5" s="21"/>
      <c r="Y5" s="20"/>
      <c r="Z5" s="20"/>
    </row>
    <row r="6" spans="1:25" ht="16.5" customHeight="1">
      <c r="A6" s="12"/>
      <c r="B6" s="184">
        <v>0</v>
      </c>
      <c r="C6" s="191" t="s">
        <v>134</v>
      </c>
      <c r="D6" s="201" t="s">
        <v>136</v>
      </c>
      <c r="E6" s="191" t="s">
        <v>134</v>
      </c>
      <c r="F6" s="190" t="s">
        <v>138</v>
      </c>
      <c r="G6" s="129"/>
      <c r="H6" s="129"/>
      <c r="I6" s="129"/>
      <c r="J6" s="129"/>
      <c r="K6" s="129"/>
      <c r="Y6" s="178"/>
    </row>
    <row r="7" spans="1:18" ht="16.5" customHeight="1">
      <c r="A7" s="12"/>
      <c r="B7" s="184"/>
      <c r="C7" s="191"/>
      <c r="D7" s="201"/>
      <c r="E7" s="191"/>
      <c r="F7" s="190"/>
      <c r="G7" s="129"/>
      <c r="H7" s="129"/>
      <c r="I7" s="182"/>
      <c r="J7" s="190"/>
      <c r="K7" s="182"/>
      <c r="L7" s="177"/>
      <c r="M7" s="174"/>
      <c r="O7" s="174"/>
      <c r="P7" s="175"/>
      <c r="Q7" s="73"/>
      <c r="R7" s="73"/>
    </row>
    <row r="8" spans="1:18" ht="16.5" customHeight="1">
      <c r="A8" s="12"/>
      <c r="B8" s="184">
        <v>0</v>
      </c>
      <c r="C8" s="191" t="str">
        <f>IF(B8&lt;=D8,"≦","＞")</f>
        <v>≦</v>
      </c>
      <c r="D8" s="182">
        <f>F3</f>
        <v>6</v>
      </c>
      <c r="E8" s="191" t="str">
        <f>IF(D8&lt;=F8,"≦","＞")</f>
        <v>≦</v>
      </c>
      <c r="F8" s="190">
        <f>'洪水1-1'!F37</f>
        <v>9.05</v>
      </c>
      <c r="G8" s="184" t="str">
        <f>IF(AND(B8&lt;=D8,D8&lt;=F8),"OK","OUT")</f>
        <v>OK</v>
      </c>
      <c r="H8" s="184"/>
      <c r="I8" s="184"/>
      <c r="J8" s="129"/>
      <c r="K8" s="129"/>
      <c r="M8" s="174"/>
      <c r="O8" s="174"/>
      <c r="P8" s="175"/>
      <c r="Q8" s="73"/>
      <c r="R8" s="73"/>
    </row>
    <row r="9" spans="1:18" ht="16.5" customHeight="1">
      <c r="A9" s="12"/>
      <c r="C9" s="176"/>
      <c r="D9" s="176"/>
      <c r="E9" s="176"/>
      <c r="I9" s="174"/>
      <c r="J9" s="175"/>
      <c r="K9" s="174"/>
      <c r="L9" s="177"/>
      <c r="M9" s="174"/>
      <c r="O9" s="174"/>
      <c r="P9" s="175"/>
      <c r="Q9" s="73"/>
      <c r="R9" s="73"/>
    </row>
    <row r="10" spans="1:18" ht="16.5" customHeight="1">
      <c r="A10" s="12"/>
      <c r="C10" s="15" t="s">
        <v>139</v>
      </c>
      <c r="D10" s="17" t="s">
        <v>140</v>
      </c>
      <c r="O10" s="174"/>
      <c r="P10" s="175"/>
      <c r="Q10" s="73"/>
      <c r="R10" s="73"/>
    </row>
    <row r="11" spans="3:4" ht="16.5" customHeight="1">
      <c r="C11" s="15" t="s">
        <v>141</v>
      </c>
      <c r="D11" s="17" t="s">
        <v>79</v>
      </c>
    </row>
    <row r="12" spans="1:18" ht="16.5" customHeight="1">
      <c r="A12" s="12"/>
      <c r="C12" s="15" t="s">
        <v>142</v>
      </c>
      <c r="D12" s="17" t="s">
        <v>143</v>
      </c>
      <c r="O12" s="174"/>
      <c r="P12" s="175"/>
      <c r="Q12" s="73"/>
      <c r="R12" s="73"/>
    </row>
    <row r="13" spans="3:18" ht="16.5" customHeight="1">
      <c r="C13" s="15" t="s">
        <v>144</v>
      </c>
      <c r="D13" s="17" t="s">
        <v>145</v>
      </c>
      <c r="O13" s="174"/>
      <c r="P13" s="175"/>
      <c r="Q13" s="73"/>
      <c r="R13" s="73"/>
    </row>
    <row r="14" ht="16.5" customHeight="1">
      <c r="A14" s="12"/>
    </row>
    <row r="15" ht="16.5" customHeight="1">
      <c r="A15" s="179" t="s">
        <v>146</v>
      </c>
    </row>
    <row r="16" ht="16.5" customHeight="1">
      <c r="A16" s="12"/>
    </row>
    <row r="17" spans="2:10" ht="16.5" customHeight="1">
      <c r="B17" s="316" t="s">
        <v>316</v>
      </c>
      <c r="C17" s="317" t="s">
        <v>147</v>
      </c>
      <c r="D17" s="187" t="s">
        <v>148</v>
      </c>
      <c r="E17" s="187" t="s">
        <v>149</v>
      </c>
      <c r="F17" s="187" t="s">
        <v>150</v>
      </c>
      <c r="G17" s="187" t="s">
        <v>151</v>
      </c>
      <c r="H17" s="187" t="s">
        <v>152</v>
      </c>
      <c r="I17" s="187" t="s">
        <v>149</v>
      </c>
      <c r="J17" s="187" t="s">
        <v>153</v>
      </c>
    </row>
    <row r="18" spans="2:20" ht="16.5" customHeight="1">
      <c r="B18" s="316"/>
      <c r="C18" s="317"/>
      <c r="D18" s="318" t="s">
        <v>154</v>
      </c>
      <c r="E18" s="318"/>
      <c r="F18" s="318"/>
      <c r="G18" s="318"/>
      <c r="H18" s="318"/>
      <c r="I18" s="318"/>
      <c r="J18" s="318"/>
      <c r="S18" s="15"/>
      <c r="T18" s="21"/>
    </row>
    <row r="19" spans="1:10" ht="16.5" customHeight="1">
      <c r="A19" s="173"/>
      <c r="B19" s="20"/>
      <c r="C19" s="20"/>
      <c r="D19" s="192"/>
      <c r="E19" s="129"/>
      <c r="F19" s="129"/>
      <c r="G19" s="129"/>
      <c r="H19" s="129"/>
      <c r="I19" s="129"/>
      <c r="J19" s="129"/>
    </row>
    <row r="20" spans="1:10" ht="16.5" customHeight="1">
      <c r="A20" s="173"/>
      <c r="B20" s="316"/>
      <c r="C20" s="317" t="s">
        <v>147</v>
      </c>
      <c r="D20" s="189">
        <f>'洪水1-1'!K46</f>
        <v>0.7</v>
      </c>
      <c r="E20" s="187" t="s">
        <v>155</v>
      </c>
      <c r="F20" s="189">
        <f>D4</f>
        <v>1784.71</v>
      </c>
      <c r="G20" s="187" t="s">
        <v>156</v>
      </c>
      <c r="H20" s="193">
        <f>'洪水1-1'!K48</f>
        <v>330</v>
      </c>
      <c r="I20" s="187" t="s">
        <v>157</v>
      </c>
      <c r="J20" s="189">
        <f>H39</f>
        <v>9.05</v>
      </c>
    </row>
    <row r="21" spans="1:10" ht="16.5" customHeight="1">
      <c r="A21" s="173"/>
      <c r="B21" s="316"/>
      <c r="C21" s="317"/>
      <c r="D21" s="319">
        <f>'洪水1-2'!N36</f>
        <v>776.83</v>
      </c>
      <c r="E21" s="319"/>
      <c r="F21" s="319"/>
      <c r="G21" s="319"/>
      <c r="H21" s="319"/>
      <c r="I21" s="319"/>
      <c r="J21" s="319"/>
    </row>
    <row r="22" spans="1:10" ht="16.5" customHeight="1">
      <c r="A22" s="173"/>
      <c r="B22" s="20"/>
      <c r="C22" s="20"/>
      <c r="D22" s="192"/>
      <c r="E22" s="129"/>
      <c r="F22" s="129"/>
      <c r="G22" s="129"/>
      <c r="H22" s="129"/>
      <c r="I22" s="129"/>
      <c r="J22" s="129"/>
    </row>
    <row r="23" spans="1:10" ht="16.5" customHeight="1">
      <c r="A23" s="173"/>
      <c r="B23" s="20"/>
      <c r="C23" s="14" t="s">
        <v>158</v>
      </c>
      <c r="D23" s="196">
        <f>ROUNDDOWN((D20*F20+H20*J20)/D21,2)</f>
        <v>5.45</v>
      </c>
      <c r="E23" s="192" t="str">
        <f>IF(D23&gt;=F23,"≧","＜")</f>
        <v>≧</v>
      </c>
      <c r="F23" s="194">
        <f>'洪水1-1'!K43</f>
        <v>4</v>
      </c>
      <c r="G23" s="129"/>
      <c r="H23" s="129" t="str">
        <f>IF(D23&lt;F23,"OUT","OK")</f>
        <v>OK</v>
      </c>
      <c r="I23" s="129"/>
      <c r="J23" s="129"/>
    </row>
    <row r="24" spans="3:4" ht="16.5" customHeight="1">
      <c r="C24" s="73"/>
      <c r="D24" s="73"/>
    </row>
    <row r="25" spans="3:4" ht="16.5" customHeight="1">
      <c r="C25" s="18" t="s">
        <v>159</v>
      </c>
      <c r="D25" s="172" t="s">
        <v>160</v>
      </c>
    </row>
    <row r="26" spans="1:4" ht="16.5" customHeight="1">
      <c r="A26" s="176"/>
      <c r="B26" s="73"/>
      <c r="C26" s="18" t="s">
        <v>161</v>
      </c>
      <c r="D26" s="172" t="s">
        <v>8</v>
      </c>
    </row>
    <row r="27" spans="3:18" ht="16.5" customHeight="1">
      <c r="C27" s="15" t="s">
        <v>162</v>
      </c>
      <c r="D27" s="17" t="s">
        <v>145</v>
      </c>
      <c r="O27" s="174"/>
      <c r="P27" s="175"/>
      <c r="Q27" s="73"/>
      <c r="R27" s="73"/>
    </row>
    <row r="28" spans="3:18" ht="16.5" customHeight="1">
      <c r="C28" s="15" t="s">
        <v>163</v>
      </c>
      <c r="D28" s="17" t="s">
        <v>164</v>
      </c>
      <c r="O28" s="174"/>
      <c r="P28" s="175"/>
      <c r="Q28" s="73"/>
      <c r="R28" s="73"/>
    </row>
    <row r="29" spans="3:4" ht="16.5" customHeight="1">
      <c r="C29" s="18" t="s">
        <v>165</v>
      </c>
      <c r="D29" s="172" t="s">
        <v>166</v>
      </c>
    </row>
    <row r="30" spans="3:4" ht="16.5" customHeight="1">
      <c r="C30" s="18"/>
      <c r="D30" s="172" t="s">
        <v>167</v>
      </c>
    </row>
    <row r="31" spans="1:4" ht="16.5" customHeight="1">
      <c r="A31" s="12"/>
      <c r="C31" s="18" t="s">
        <v>168</v>
      </c>
      <c r="D31" s="172" t="s">
        <v>169</v>
      </c>
    </row>
    <row r="32" spans="1:5" ht="16.5" customHeight="1">
      <c r="A32" s="12"/>
      <c r="D32" s="18"/>
      <c r="E32" s="172"/>
    </row>
    <row r="33" spans="1:21" ht="16.5" customHeight="1">
      <c r="A33" s="12"/>
      <c r="D33" s="18"/>
      <c r="E33" s="172"/>
      <c r="U33" s="21"/>
    </row>
    <row r="34" spans="1:21" ht="16.5" customHeight="1">
      <c r="A34" s="12"/>
      <c r="D34" s="18"/>
      <c r="E34" s="172"/>
      <c r="U34" s="21"/>
    </row>
    <row r="35" spans="1:18" ht="16.5" customHeight="1">
      <c r="A35" s="12"/>
      <c r="D35" s="18"/>
      <c r="E35" s="172"/>
      <c r="O35" s="174"/>
      <c r="P35" s="175"/>
      <c r="Q35" s="73"/>
      <c r="R35" s="73"/>
    </row>
    <row r="36" spans="1:18" ht="16.5" customHeight="1">
      <c r="A36" s="12"/>
      <c r="D36" s="18"/>
      <c r="E36" s="172"/>
      <c r="O36" s="174"/>
      <c r="P36" s="175"/>
      <c r="Q36" s="73"/>
      <c r="R36" s="73"/>
    </row>
    <row r="37" ht="16.5" customHeight="1">
      <c r="A37" s="179" t="s">
        <v>123</v>
      </c>
    </row>
    <row r="38" spans="1:16" ht="16.5" customHeight="1">
      <c r="A38" s="179"/>
      <c r="P38" s="65"/>
    </row>
    <row r="39" spans="1:16" ht="16.5" customHeight="1">
      <c r="A39" s="316" t="s">
        <v>13</v>
      </c>
      <c r="B39" s="320" t="s">
        <v>170</v>
      </c>
      <c r="C39" s="314" t="s">
        <v>14</v>
      </c>
      <c r="D39" s="187" t="s">
        <v>171</v>
      </c>
      <c r="E39" s="315" t="s">
        <v>10</v>
      </c>
      <c r="F39" s="321">
        <f>F3</f>
        <v>6</v>
      </c>
      <c r="G39" s="314" t="s">
        <v>14</v>
      </c>
      <c r="H39" s="189">
        <f>F8</f>
        <v>9.05</v>
      </c>
      <c r="I39" s="315" t="s">
        <v>10</v>
      </c>
      <c r="J39" s="321">
        <f>F39-H39/H40</f>
        <v>1.48</v>
      </c>
      <c r="K39" s="314" t="s">
        <v>11</v>
      </c>
      <c r="P39" s="65"/>
    </row>
    <row r="40" spans="1:16" ht="16.5" customHeight="1">
      <c r="A40" s="316"/>
      <c r="B40" s="320"/>
      <c r="C40" s="314"/>
      <c r="D40" s="129">
        <v>2</v>
      </c>
      <c r="E40" s="315"/>
      <c r="F40" s="321"/>
      <c r="G40" s="314"/>
      <c r="H40" s="129">
        <v>2</v>
      </c>
      <c r="I40" s="315"/>
      <c r="J40" s="321"/>
      <c r="K40" s="314"/>
      <c r="P40" s="65"/>
    </row>
    <row r="41" spans="1:16" ht="16.5" customHeight="1">
      <c r="A41" s="12"/>
      <c r="I41" s="18"/>
      <c r="P41" s="65"/>
    </row>
    <row r="42" spans="1:16" ht="16.5" customHeight="1">
      <c r="A42" s="322" t="s">
        <v>172</v>
      </c>
      <c r="B42" s="181" t="s">
        <v>173</v>
      </c>
      <c r="C42" s="314" t="s">
        <v>16</v>
      </c>
      <c r="D42" s="314">
        <v>1</v>
      </c>
      <c r="E42" s="314" t="s">
        <v>174</v>
      </c>
      <c r="F42" s="187">
        <v>6</v>
      </c>
      <c r="G42" s="187" t="s">
        <v>18</v>
      </c>
      <c r="H42" s="187" t="s">
        <v>19</v>
      </c>
      <c r="I42" s="314" t="s">
        <v>20</v>
      </c>
      <c r="J42" s="129"/>
      <c r="P42" s="65"/>
    </row>
    <row r="43" spans="1:16" ht="16.5" customHeight="1">
      <c r="A43" s="322"/>
      <c r="B43" s="192" t="s">
        <v>171</v>
      </c>
      <c r="C43" s="314"/>
      <c r="D43" s="314"/>
      <c r="E43" s="314"/>
      <c r="F43" s="312" t="s">
        <v>171</v>
      </c>
      <c r="G43" s="312"/>
      <c r="H43" s="312"/>
      <c r="I43" s="314"/>
      <c r="J43" s="129"/>
      <c r="P43" s="65"/>
    </row>
    <row r="44" spans="1:10" ht="16.5" customHeight="1">
      <c r="A44" s="12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2" ht="16.5" customHeight="1">
      <c r="A45" s="313" t="s">
        <v>175</v>
      </c>
      <c r="B45" s="183">
        <f>B51</f>
        <v>1784.71</v>
      </c>
      <c r="C45" s="314" t="s">
        <v>16</v>
      </c>
      <c r="D45" s="314">
        <v>1</v>
      </c>
      <c r="E45" s="314" t="s">
        <v>174</v>
      </c>
      <c r="F45" s="187">
        <v>6</v>
      </c>
      <c r="G45" s="187" t="s">
        <v>18</v>
      </c>
      <c r="H45" s="189">
        <f>H51</f>
        <v>1.48</v>
      </c>
      <c r="I45" s="314" t="s">
        <v>21</v>
      </c>
      <c r="J45" s="321">
        <f>B45/B46*(D45-F45*H45/F46)</f>
        <v>3.7</v>
      </c>
      <c r="K45" s="323" t="s">
        <v>177</v>
      </c>
      <c r="L45" s="323"/>
    </row>
    <row r="46" spans="1:12" ht="16.5" customHeight="1">
      <c r="A46" s="313"/>
      <c r="B46" s="195">
        <f>H39</f>
        <v>9.05</v>
      </c>
      <c r="C46" s="314"/>
      <c r="D46" s="314"/>
      <c r="E46" s="314"/>
      <c r="F46" s="324">
        <f>B46</f>
        <v>9.05</v>
      </c>
      <c r="G46" s="324"/>
      <c r="H46" s="324"/>
      <c r="I46" s="314"/>
      <c r="J46" s="321"/>
      <c r="K46" s="323"/>
      <c r="L46" s="323"/>
    </row>
    <row r="47" spans="1:12" ht="16.5" customHeight="1">
      <c r="A47" s="18"/>
      <c r="B47" s="195"/>
      <c r="C47" s="184"/>
      <c r="D47" s="184"/>
      <c r="E47" s="184"/>
      <c r="F47" s="196"/>
      <c r="G47" s="196"/>
      <c r="H47" s="196"/>
      <c r="I47" s="184"/>
      <c r="J47" s="188"/>
      <c r="K47" s="73"/>
      <c r="L47" s="169"/>
    </row>
    <row r="48" spans="1:10" ht="16.5" customHeight="1">
      <c r="A48" s="322" t="s">
        <v>178</v>
      </c>
      <c r="B48" s="181" t="s">
        <v>173</v>
      </c>
      <c r="C48" s="314" t="s">
        <v>16</v>
      </c>
      <c r="D48" s="314">
        <v>1</v>
      </c>
      <c r="E48" s="314" t="s">
        <v>17</v>
      </c>
      <c r="F48" s="187">
        <v>6</v>
      </c>
      <c r="G48" s="187" t="s">
        <v>18</v>
      </c>
      <c r="H48" s="187" t="s">
        <v>19</v>
      </c>
      <c r="I48" s="314" t="s">
        <v>20</v>
      </c>
      <c r="J48" s="129"/>
    </row>
    <row r="49" spans="1:10" ht="16.5" customHeight="1">
      <c r="A49" s="322"/>
      <c r="B49" s="192" t="s">
        <v>171</v>
      </c>
      <c r="C49" s="314"/>
      <c r="D49" s="314"/>
      <c r="E49" s="314"/>
      <c r="F49" s="312" t="s">
        <v>171</v>
      </c>
      <c r="G49" s="312"/>
      <c r="H49" s="312"/>
      <c r="I49" s="314"/>
      <c r="J49" s="129"/>
    </row>
    <row r="50" spans="1:10" ht="16.5" customHeight="1">
      <c r="A50" s="12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2" ht="16.5" customHeight="1">
      <c r="A51" s="313" t="s">
        <v>175</v>
      </c>
      <c r="B51" s="183">
        <f>D4</f>
        <v>1784.71</v>
      </c>
      <c r="C51" s="314" t="s">
        <v>16</v>
      </c>
      <c r="D51" s="314">
        <v>1</v>
      </c>
      <c r="E51" s="314" t="s">
        <v>17</v>
      </c>
      <c r="F51" s="187">
        <v>6</v>
      </c>
      <c r="G51" s="187" t="s">
        <v>18</v>
      </c>
      <c r="H51" s="189">
        <f>J39</f>
        <v>1.48</v>
      </c>
      <c r="I51" s="314" t="s">
        <v>21</v>
      </c>
      <c r="J51" s="321">
        <f>B51/B52*(D51+F51*H51/F52)</f>
        <v>390.71</v>
      </c>
      <c r="K51" s="323" t="s">
        <v>177</v>
      </c>
      <c r="L51" s="323"/>
    </row>
    <row r="52" spans="1:12" ht="16.5" customHeight="1">
      <c r="A52" s="313"/>
      <c r="B52" s="197">
        <f>B46</f>
        <v>9.05</v>
      </c>
      <c r="C52" s="314"/>
      <c r="D52" s="314"/>
      <c r="E52" s="314"/>
      <c r="F52" s="324">
        <f>B52</f>
        <v>9.05</v>
      </c>
      <c r="G52" s="324"/>
      <c r="H52" s="324"/>
      <c r="I52" s="314"/>
      <c r="J52" s="321"/>
      <c r="K52" s="323"/>
      <c r="L52" s="323"/>
    </row>
    <row r="53" spans="1:12" ht="16.5" customHeight="1">
      <c r="A53" s="18"/>
      <c r="B53" s="171"/>
      <c r="C53" s="73"/>
      <c r="D53" s="73"/>
      <c r="E53" s="73"/>
      <c r="G53" s="65"/>
      <c r="H53" s="65"/>
      <c r="I53" s="73"/>
      <c r="J53" s="170"/>
      <c r="K53" s="73"/>
      <c r="L53" s="169"/>
    </row>
    <row r="54" spans="1:12" ht="16.5" customHeight="1">
      <c r="A54" s="18"/>
      <c r="C54" s="18" t="s">
        <v>180</v>
      </c>
      <c r="D54" s="172" t="s">
        <v>181</v>
      </c>
      <c r="G54" s="73"/>
      <c r="I54" s="73"/>
      <c r="J54" s="170"/>
      <c r="K54" s="73"/>
      <c r="L54" s="169"/>
    </row>
    <row r="55" spans="1:12" ht="16.5" customHeight="1">
      <c r="A55" s="18"/>
      <c r="B55" s="73"/>
      <c r="C55" s="18" t="s">
        <v>183</v>
      </c>
      <c r="D55" s="172" t="s">
        <v>184</v>
      </c>
      <c r="G55" s="73"/>
      <c r="I55" s="73"/>
      <c r="J55" s="170"/>
      <c r="K55" s="73"/>
      <c r="L55" s="169"/>
    </row>
    <row r="56" spans="1:12" ht="16.5" customHeight="1">
      <c r="A56" s="18"/>
      <c r="C56" s="18" t="s">
        <v>15</v>
      </c>
      <c r="D56" s="16" t="s">
        <v>185</v>
      </c>
      <c r="I56" s="73"/>
      <c r="J56" s="170"/>
      <c r="K56" s="73"/>
      <c r="L56" s="169"/>
    </row>
    <row r="57" spans="1:12" ht="16.5" customHeight="1">
      <c r="A57" s="18"/>
      <c r="B57" s="171"/>
      <c r="C57" s="73"/>
      <c r="D57" s="73"/>
      <c r="E57" s="73"/>
      <c r="G57" s="65"/>
      <c r="H57" s="65"/>
      <c r="I57" s="73"/>
      <c r="J57" s="170"/>
      <c r="K57" s="73"/>
      <c r="L57" s="169"/>
    </row>
    <row r="58" spans="1:12" ht="16.5" customHeight="1">
      <c r="A58" s="18"/>
      <c r="B58" s="180" t="s">
        <v>187</v>
      </c>
      <c r="C58" s="73" t="s">
        <v>188</v>
      </c>
      <c r="D58" s="175">
        <f>J51</f>
        <v>390.71</v>
      </c>
      <c r="E58" s="192" t="str">
        <f>IF(D58&gt;=G58,"＞","≦")</f>
        <v>≦</v>
      </c>
      <c r="F58" s="180" t="s">
        <v>189</v>
      </c>
      <c r="G58" s="198">
        <f>'洪水1-1'!K42</f>
        <v>1177</v>
      </c>
      <c r="H58" s="129" t="s">
        <v>177</v>
      </c>
      <c r="I58" s="129" t="str">
        <f>IF(G58&lt;D58,"OUT","OK")</f>
        <v>OK</v>
      </c>
      <c r="J58" s="16" t="s">
        <v>190</v>
      </c>
      <c r="K58" s="73"/>
      <c r="L58" s="169"/>
    </row>
    <row r="59" spans="1:12" ht="16.5" customHeight="1">
      <c r="A59" s="18"/>
      <c r="B59" s="171"/>
      <c r="C59" s="73"/>
      <c r="D59" s="73"/>
      <c r="E59" s="73"/>
      <c r="G59" s="65"/>
      <c r="H59" s="65"/>
      <c r="I59" s="73"/>
      <c r="J59" s="203"/>
      <c r="K59" s="73"/>
      <c r="L59" s="169"/>
    </row>
    <row r="60" spans="1:12" ht="16.5" customHeight="1">
      <c r="A60" s="18"/>
      <c r="B60" s="180" t="s">
        <v>187</v>
      </c>
      <c r="C60" s="73" t="s">
        <v>188</v>
      </c>
      <c r="D60" s="175">
        <f>J51</f>
        <v>390.71</v>
      </c>
      <c r="E60" s="192" t="str">
        <f>IF(D60&gt;=G60,"＞","≦")</f>
        <v>≦</v>
      </c>
      <c r="F60" s="180" t="s">
        <v>191</v>
      </c>
      <c r="G60" s="198">
        <f>'洪水1-1'!K49</f>
        <v>4500</v>
      </c>
      <c r="H60" s="129" t="s">
        <v>177</v>
      </c>
      <c r="I60" s="129" t="str">
        <f>IF(G60&lt;D60,"OUT","OK")</f>
        <v>OK</v>
      </c>
      <c r="J60" s="203" t="s">
        <v>192</v>
      </c>
      <c r="K60" s="73"/>
      <c r="L60" s="169"/>
    </row>
    <row r="61" spans="1:12" ht="16.5" customHeight="1">
      <c r="A61" s="18"/>
      <c r="B61" s="171"/>
      <c r="C61" s="73"/>
      <c r="D61" s="73"/>
      <c r="E61" s="73"/>
      <c r="G61" s="65"/>
      <c r="H61" s="65"/>
      <c r="I61" s="73"/>
      <c r="J61" s="203"/>
      <c r="K61" s="73"/>
      <c r="L61" s="169"/>
    </row>
    <row r="62" spans="1:12" ht="16.5" customHeight="1">
      <c r="A62" s="18"/>
      <c r="B62" s="180" t="s">
        <v>194</v>
      </c>
      <c r="C62" s="73" t="s">
        <v>188</v>
      </c>
      <c r="D62" s="175">
        <f>J45</f>
        <v>3.7</v>
      </c>
      <c r="E62" s="192" t="str">
        <f>IF(D62&lt;=G62,"＜","≧")</f>
        <v>≧</v>
      </c>
      <c r="F62" s="180"/>
      <c r="G62" s="198">
        <v>0</v>
      </c>
      <c r="H62" s="129" t="s">
        <v>195</v>
      </c>
      <c r="I62" s="129" t="str">
        <f>IF(G62&lt;D62,"OK","OUT")</f>
        <v>OK</v>
      </c>
      <c r="J62" s="203" t="s">
        <v>192</v>
      </c>
      <c r="K62" s="73"/>
      <c r="L62" s="169"/>
    </row>
  </sheetData>
  <sheetProtection/>
  <mergeCells count="48">
    <mergeCell ref="D51:D52"/>
    <mergeCell ref="E51:E52"/>
    <mergeCell ref="I51:I52"/>
    <mergeCell ref="J51:J52"/>
    <mergeCell ref="K51:L52"/>
    <mergeCell ref="F52:H52"/>
    <mergeCell ref="E45:E46"/>
    <mergeCell ref="I45:I46"/>
    <mergeCell ref="J45:J46"/>
    <mergeCell ref="K45:L46"/>
    <mergeCell ref="F46:H46"/>
    <mergeCell ref="A48:A49"/>
    <mergeCell ref="C48:C49"/>
    <mergeCell ref="D48:D49"/>
    <mergeCell ref="E48:E49"/>
    <mergeCell ref="I48:I49"/>
    <mergeCell ref="A42:A43"/>
    <mergeCell ref="C42:C43"/>
    <mergeCell ref="D42:D43"/>
    <mergeCell ref="E42:E43"/>
    <mergeCell ref="I42:I43"/>
    <mergeCell ref="F43:H43"/>
    <mergeCell ref="E39:E40"/>
    <mergeCell ref="F39:F40"/>
    <mergeCell ref="G39:G40"/>
    <mergeCell ref="I39:I40"/>
    <mergeCell ref="J39:J40"/>
    <mergeCell ref="K39:K40"/>
    <mergeCell ref="D18:J18"/>
    <mergeCell ref="B20:B21"/>
    <mergeCell ref="A45:A46"/>
    <mergeCell ref="C45:C46"/>
    <mergeCell ref="D45:D46"/>
    <mergeCell ref="C20:C21"/>
    <mergeCell ref="D21:J21"/>
    <mergeCell ref="A39:A40"/>
    <mergeCell ref="B39:B40"/>
    <mergeCell ref="C39:C40"/>
    <mergeCell ref="F49:H49"/>
    <mergeCell ref="A51:A52"/>
    <mergeCell ref="C51:C52"/>
    <mergeCell ref="F3:F4"/>
    <mergeCell ref="G3:G4"/>
    <mergeCell ref="A3:A4"/>
    <mergeCell ref="C3:C4"/>
    <mergeCell ref="E3:E4"/>
    <mergeCell ref="B17:B18"/>
    <mergeCell ref="C17:C18"/>
  </mergeCells>
  <printOptions/>
  <pageMargins left="1.1811023622047245" right="0.1968503937007874" top="0.984251968503937" bottom="0.5905511811023623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22">
      <selection activeCell="K64" sqref="K64"/>
    </sheetView>
  </sheetViews>
  <sheetFormatPr defaultColWidth="8.875" defaultRowHeight="13.5"/>
  <cols>
    <col min="1" max="1" width="4.25390625" style="1" customWidth="1"/>
    <col min="2" max="2" width="6.00390625" style="1" customWidth="1"/>
    <col min="3" max="3" width="1.4921875" style="1" customWidth="1"/>
    <col min="4" max="4" width="8.875" style="1" customWidth="1"/>
    <col min="5" max="5" width="1.4921875" style="1" customWidth="1"/>
    <col min="6" max="6" width="6.875" style="1" customWidth="1"/>
    <col min="7" max="7" width="1.4921875" style="1" customWidth="1"/>
    <col min="8" max="8" width="7.75390625" style="1" customWidth="1"/>
    <col min="9" max="9" width="3.75390625" style="1" customWidth="1"/>
    <col min="10" max="11" width="6.875" style="1" customWidth="1"/>
    <col min="12" max="14" width="4.25390625" style="1" customWidth="1"/>
    <col min="15" max="15" width="2.50390625" style="1" customWidth="1"/>
    <col min="16" max="18" width="4.25390625" style="1" customWidth="1"/>
    <col min="19" max="19" width="1.4921875" style="1" customWidth="1"/>
    <col min="20" max="20" width="6.00390625" style="1" customWidth="1"/>
    <col min="21" max="21" width="1.4921875" style="1" customWidth="1"/>
    <col min="22" max="16384" width="8.875" style="1" customWidth="1"/>
  </cols>
  <sheetData>
    <row r="1" spans="1:11" ht="18" customHeight="1">
      <c r="A1" s="22" t="s">
        <v>127</v>
      </c>
      <c r="B1" s="23" t="str">
        <f>"安定計算（越流部土石流時）　上流勾配 1:"&amp;FIXED(I21,2)</f>
        <v>安定計算（越流部土石流時）　上流勾配 1:0.35</v>
      </c>
      <c r="C1" s="24"/>
      <c r="D1" s="24"/>
      <c r="E1" s="25"/>
      <c r="F1" s="25"/>
      <c r="G1" s="25"/>
      <c r="H1" s="25"/>
      <c r="I1" s="25"/>
      <c r="J1" s="25"/>
      <c r="K1" s="25"/>
    </row>
    <row r="2" ht="12" customHeight="1"/>
    <row r="3" spans="1:2" ht="18" customHeight="1">
      <c r="A3" s="14"/>
      <c r="B3" s="1" t="s">
        <v>7</v>
      </c>
    </row>
    <row r="4" spans="1:22" ht="12.75">
      <c r="A4" s="14"/>
      <c r="B4" s="14"/>
      <c r="C4" s="14"/>
      <c r="D4" s="14"/>
      <c r="E4" s="14"/>
      <c r="F4" s="14"/>
      <c r="G4" s="14"/>
      <c r="H4" s="14"/>
      <c r="I4" s="14" t="s">
        <v>108</v>
      </c>
      <c r="J4" s="14" t="s">
        <v>109</v>
      </c>
      <c r="K4" s="40"/>
      <c r="L4" s="40"/>
      <c r="M4" s="40" t="s">
        <v>90</v>
      </c>
      <c r="N4" s="166" t="s">
        <v>91</v>
      </c>
      <c r="O4" s="40"/>
      <c r="P4" s="40"/>
      <c r="Q4" s="40"/>
      <c r="R4" s="40"/>
      <c r="S4" s="40"/>
      <c r="T4" s="40"/>
      <c r="U4" s="40"/>
      <c r="V4" s="14"/>
    </row>
    <row r="5" spans="1:2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67" t="s">
        <v>92</v>
      </c>
      <c r="N5" s="14"/>
      <c r="O5" s="155"/>
      <c r="P5" s="14"/>
      <c r="Q5" s="14"/>
      <c r="R5" s="14"/>
      <c r="S5" s="14"/>
      <c r="T5" s="14"/>
      <c r="U5" s="14"/>
      <c r="V5" s="14"/>
    </row>
    <row r="6" spans="1:2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6" t="s">
        <v>110</v>
      </c>
      <c r="U7" s="14"/>
      <c r="V7" s="14"/>
    </row>
    <row r="8" spans="1:2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6">
        <v>0.6</v>
      </c>
      <c r="U8" s="14"/>
      <c r="V8" s="14"/>
    </row>
    <row r="9" spans="1:22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14"/>
      <c r="B11" s="16" t="s">
        <v>95</v>
      </c>
      <c r="C11" s="14"/>
      <c r="D11" s="14"/>
      <c r="E11" s="14"/>
      <c r="F11" s="14"/>
      <c r="G11" s="14"/>
      <c r="H11" s="14" t="s">
        <v>96</v>
      </c>
      <c r="I11" s="14"/>
      <c r="J11" s="1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14"/>
      <c r="B12" s="168">
        <f>'洪水1-1'!B19</f>
        <v>11</v>
      </c>
      <c r="C12" s="14"/>
      <c r="D12" s="14"/>
      <c r="E12" s="325">
        <f>'洪水1-1'!F15</f>
        <v>0.2</v>
      </c>
      <c r="F12" s="32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2.75">
      <c r="A14" s="14"/>
      <c r="B14" s="14"/>
      <c r="C14" s="14"/>
      <c r="D14" s="14"/>
      <c r="E14" s="14"/>
      <c r="F14" s="14"/>
      <c r="G14" s="14"/>
      <c r="H14" s="14"/>
      <c r="I14" s="14"/>
      <c r="J14" s="14" t="s">
        <v>70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14"/>
      <c r="B19" s="14"/>
      <c r="C19" s="14"/>
      <c r="D19" s="14"/>
      <c r="E19" s="14"/>
      <c r="F19" s="14"/>
      <c r="G19" s="14"/>
      <c r="H19" s="14"/>
      <c r="I19" s="14"/>
      <c r="J19" s="18" t="s">
        <v>71</v>
      </c>
      <c r="K19" s="14"/>
      <c r="L19" s="14"/>
      <c r="M19" s="18" t="s">
        <v>111</v>
      </c>
      <c r="N19" s="14"/>
      <c r="O19" s="14"/>
      <c r="P19" s="14"/>
      <c r="Q19" s="14" t="s">
        <v>112</v>
      </c>
      <c r="R19" s="14"/>
      <c r="S19" s="14"/>
      <c r="T19" s="16" t="s">
        <v>113</v>
      </c>
      <c r="U19" s="14"/>
      <c r="V19" s="14"/>
    </row>
    <row r="20" spans="1:2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68">
        <f>B12-T8</f>
        <v>10.4</v>
      </c>
      <c r="U20" s="14"/>
      <c r="V20" s="14"/>
    </row>
    <row r="21" spans="1:22" ht="12.75">
      <c r="A21" s="14"/>
      <c r="B21" s="14"/>
      <c r="C21" s="14"/>
      <c r="D21" s="14"/>
      <c r="E21" s="14"/>
      <c r="F21" s="14"/>
      <c r="G21" s="14"/>
      <c r="H21" s="14"/>
      <c r="I21" s="325">
        <f>'洪水1-1'!I16</f>
        <v>0.35</v>
      </c>
      <c r="J21" s="32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14"/>
      <c r="B24" s="14"/>
      <c r="C24" s="14"/>
      <c r="D24" s="14"/>
      <c r="E24" s="14"/>
      <c r="F24" s="14" t="s">
        <v>65</v>
      </c>
      <c r="G24" s="14"/>
      <c r="H24" s="14"/>
      <c r="I24" s="14"/>
      <c r="J24" s="14" t="s">
        <v>66</v>
      </c>
      <c r="K24" s="14"/>
      <c r="L24" s="14" t="s">
        <v>99</v>
      </c>
      <c r="M24" s="14"/>
      <c r="N24" s="14"/>
      <c r="O24" s="14"/>
      <c r="P24" s="14" t="s">
        <v>114</v>
      </c>
      <c r="Q24" s="14"/>
      <c r="R24" s="14"/>
      <c r="S24" s="14"/>
      <c r="T24" s="14"/>
      <c r="U24" s="14"/>
      <c r="V24" s="14"/>
    </row>
    <row r="25" spans="1:22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284"/>
      <c r="L26" s="284"/>
      <c r="M26" s="14"/>
      <c r="N26" s="14"/>
      <c r="O26" s="284"/>
      <c r="P26" s="284"/>
      <c r="Q26" s="14"/>
      <c r="R26" s="14"/>
      <c r="S26" s="14"/>
      <c r="T26" s="14"/>
      <c r="U26" s="14"/>
      <c r="V26" s="14"/>
    </row>
    <row r="27" spans="1:2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14"/>
      <c r="B31" s="14"/>
      <c r="C31" s="14"/>
      <c r="D31" s="14"/>
      <c r="E31" s="14"/>
      <c r="F31" s="16" t="s">
        <v>67</v>
      </c>
      <c r="G31" s="16"/>
      <c r="H31" s="16" t="s">
        <v>68</v>
      </c>
      <c r="I31" s="326" t="s">
        <v>69</v>
      </c>
      <c r="J31" s="326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14"/>
      <c r="B32" s="14"/>
      <c r="C32" s="14"/>
      <c r="D32" s="14"/>
      <c r="E32" s="14"/>
      <c r="F32" s="285">
        <f>B12*E12</f>
        <v>2.2</v>
      </c>
      <c r="G32" s="285"/>
      <c r="H32" s="65">
        <f>'洪水1-1'!H33</f>
        <v>3</v>
      </c>
      <c r="I32" s="285">
        <f>B12*I21</f>
        <v>3.85</v>
      </c>
      <c r="J32" s="28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4.5" customHeight="1">
      <c r="A33" s="14"/>
      <c r="B33" s="14"/>
      <c r="C33" s="14"/>
      <c r="D33" s="14"/>
      <c r="E33" s="14"/>
      <c r="F33" s="65"/>
      <c r="G33" s="65"/>
      <c r="H33" s="65"/>
      <c r="I33" s="65"/>
      <c r="J33" s="6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4.5" customHeight="1">
      <c r="A34" s="14"/>
      <c r="B34" s="14"/>
      <c r="C34" s="14"/>
      <c r="D34" s="14"/>
      <c r="E34" s="14"/>
      <c r="F34" s="65"/>
      <c r="G34" s="65"/>
      <c r="H34" s="65"/>
      <c r="I34" s="65"/>
      <c r="J34" s="6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14"/>
      <c r="B35" s="14"/>
      <c r="C35" s="14"/>
      <c r="D35" s="14"/>
      <c r="E35" s="14"/>
      <c r="F35" s="65"/>
      <c r="G35" s="65"/>
      <c r="H35" s="159" t="s">
        <v>100</v>
      </c>
      <c r="I35" s="159"/>
      <c r="J35" s="6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14"/>
      <c r="B36" s="14"/>
      <c r="C36" s="14"/>
      <c r="D36" s="14"/>
      <c r="E36" s="14"/>
      <c r="F36" s="285">
        <f>F32+H32+I32</f>
        <v>9.05</v>
      </c>
      <c r="G36" s="285"/>
      <c r="H36" s="285"/>
      <c r="I36" s="285"/>
      <c r="J36" s="28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4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3.5" customHeight="1">
      <c r="A39" s="14"/>
      <c r="B39" s="14"/>
      <c r="C39" s="14"/>
      <c r="D39" s="16" t="s">
        <v>51</v>
      </c>
      <c r="E39" s="14"/>
      <c r="F39" s="14"/>
      <c r="G39" s="14"/>
      <c r="H39" s="14"/>
      <c r="I39" s="14"/>
      <c r="J39" s="14"/>
      <c r="K39" s="16" t="str">
        <f>'洪水1-1'!K41</f>
        <v>軟岩(Ⅰ)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3.5" customHeight="1">
      <c r="A40" s="14"/>
      <c r="B40" s="14"/>
      <c r="C40" s="17" t="s">
        <v>199</v>
      </c>
      <c r="D40" s="14"/>
      <c r="E40" s="14"/>
      <c r="F40" s="14"/>
      <c r="G40" s="14"/>
      <c r="H40" s="14"/>
      <c r="I40" s="14"/>
      <c r="J40" s="14"/>
      <c r="K40" s="59">
        <f>'洪水1-1'!K42</f>
        <v>1177</v>
      </c>
      <c r="L40" s="16" t="s">
        <v>84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3.5" customHeight="1">
      <c r="A41" s="14"/>
      <c r="B41" s="14"/>
      <c r="C41" s="16" t="s">
        <v>201</v>
      </c>
      <c r="D41" s="14"/>
      <c r="E41" s="14"/>
      <c r="F41" s="14"/>
      <c r="G41" s="14"/>
      <c r="H41" s="14"/>
      <c r="I41" s="14"/>
      <c r="J41" s="14"/>
      <c r="K41" s="60">
        <f>'洪水1-1'!K43</f>
        <v>4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3.5" customHeight="1">
      <c r="A42" s="14"/>
      <c r="B42" s="14"/>
      <c r="C42" s="16" t="s">
        <v>200</v>
      </c>
      <c r="D42" s="14"/>
      <c r="E42" s="14"/>
      <c r="F42" s="16"/>
      <c r="G42" s="16"/>
      <c r="H42" s="16"/>
      <c r="I42" s="14"/>
      <c r="J42" s="14"/>
      <c r="K42" s="61">
        <v>4</v>
      </c>
      <c r="L42" s="16" t="s">
        <v>115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3.5" customHeight="1">
      <c r="A43" s="14"/>
      <c r="B43" s="14"/>
      <c r="C43" s="17" t="s">
        <v>202</v>
      </c>
      <c r="D43" s="14"/>
      <c r="E43" s="14"/>
      <c r="F43" s="16"/>
      <c r="G43" s="16"/>
      <c r="H43" s="16"/>
      <c r="I43" s="14"/>
      <c r="J43" s="14"/>
      <c r="K43" s="65">
        <f>'洪水1-1'!K44</f>
        <v>22.56</v>
      </c>
      <c r="L43" s="16" t="s">
        <v>86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3.5" customHeight="1">
      <c r="A44" s="14"/>
      <c r="B44" s="14"/>
      <c r="C44" s="17" t="s">
        <v>203</v>
      </c>
      <c r="D44" s="14"/>
      <c r="E44" s="14"/>
      <c r="F44" s="16"/>
      <c r="G44" s="16"/>
      <c r="H44" s="16"/>
      <c r="I44" s="14"/>
      <c r="J44" s="14"/>
      <c r="K44" s="65">
        <f>'洪水1-1'!K45</f>
        <v>11.77</v>
      </c>
      <c r="L44" s="16" t="s">
        <v>86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3.5" customHeight="1">
      <c r="A45" s="14"/>
      <c r="B45" s="14"/>
      <c r="C45" s="16" t="s">
        <v>207</v>
      </c>
      <c r="D45" s="217"/>
      <c r="E45" s="14"/>
      <c r="F45" s="16"/>
      <c r="G45" s="16"/>
      <c r="H45" s="16"/>
      <c r="I45" s="14"/>
      <c r="J45" s="14"/>
      <c r="K45" s="65">
        <f>0.6*(25.5-K44)</f>
        <v>8.24</v>
      </c>
      <c r="L45" s="16" t="s">
        <v>87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3.5" customHeight="1">
      <c r="A46" s="14"/>
      <c r="B46" s="14"/>
      <c r="C46" s="16" t="s">
        <v>88</v>
      </c>
      <c r="D46" s="14"/>
      <c r="E46" s="14"/>
      <c r="F46" s="18"/>
      <c r="G46" s="14"/>
      <c r="H46" s="63"/>
      <c r="I46" s="14"/>
      <c r="J46" s="14"/>
      <c r="K46" s="61">
        <v>19.18</v>
      </c>
      <c r="L46" s="16" t="s">
        <v>87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3.5" customHeight="1">
      <c r="A47" s="14"/>
      <c r="B47" s="14"/>
      <c r="C47" s="16" t="s">
        <v>208</v>
      </c>
      <c r="D47" s="217"/>
      <c r="E47" s="14"/>
      <c r="F47" s="16"/>
      <c r="G47" s="16"/>
      <c r="H47" s="16"/>
      <c r="I47" s="14"/>
      <c r="J47" s="14"/>
      <c r="K47" s="65">
        <f>K46-K44</f>
        <v>7.41</v>
      </c>
      <c r="L47" s="16" t="s">
        <v>116</v>
      </c>
      <c r="M47" s="14"/>
      <c r="N47" s="16" t="s">
        <v>209</v>
      </c>
      <c r="O47" s="14"/>
      <c r="P47" s="14"/>
      <c r="Q47" s="14"/>
      <c r="R47" s="14"/>
      <c r="S47" s="14"/>
      <c r="T47" s="14"/>
      <c r="U47" s="14"/>
      <c r="V47" s="14"/>
    </row>
    <row r="48" spans="1:22" ht="13.5" customHeight="1">
      <c r="A48" s="14"/>
      <c r="B48" s="14"/>
      <c r="C48" s="17" t="s">
        <v>117</v>
      </c>
      <c r="D48" s="14"/>
      <c r="E48" s="14"/>
      <c r="F48" s="16"/>
      <c r="G48" s="16"/>
      <c r="H48" s="16"/>
      <c r="I48" s="14"/>
      <c r="J48" s="14"/>
      <c r="K48" s="64">
        <v>0.3</v>
      </c>
      <c r="L48" s="16"/>
      <c r="M48" s="14"/>
      <c r="N48" s="14"/>
      <c r="O48" s="61"/>
      <c r="P48" s="14"/>
      <c r="Q48" s="14"/>
      <c r="R48" s="14"/>
      <c r="S48" s="14"/>
      <c r="T48" s="14"/>
      <c r="U48" s="14"/>
      <c r="V48" s="14"/>
    </row>
    <row r="49" spans="1:22" ht="13.5" customHeight="1">
      <c r="A49" s="14"/>
      <c r="B49" s="14"/>
      <c r="C49" s="16" t="s">
        <v>118</v>
      </c>
      <c r="D49" s="14"/>
      <c r="E49" s="14"/>
      <c r="F49" s="14"/>
      <c r="G49" s="14"/>
      <c r="H49" s="14"/>
      <c r="I49" s="14"/>
      <c r="J49" s="14"/>
      <c r="K49" s="65">
        <f>'洪水1-1'!K46</f>
        <v>0.7</v>
      </c>
      <c r="L49" s="14"/>
      <c r="M49" s="14"/>
      <c r="N49" s="14"/>
      <c r="O49" s="61"/>
      <c r="P49" s="14"/>
      <c r="Q49" s="14"/>
      <c r="R49" s="14"/>
      <c r="S49" s="14"/>
      <c r="T49" s="14"/>
      <c r="U49" s="14"/>
      <c r="V49" s="14"/>
    </row>
    <row r="50" spans="1:22" ht="13.5" customHeight="1">
      <c r="A50" s="14"/>
      <c r="B50" s="14"/>
      <c r="C50" s="16" t="s">
        <v>119</v>
      </c>
      <c r="D50" s="14"/>
      <c r="E50" s="14"/>
      <c r="F50" s="16"/>
      <c r="G50" s="16"/>
      <c r="H50" s="16"/>
      <c r="I50" s="14"/>
      <c r="J50" s="14"/>
      <c r="K50" s="61">
        <v>9.81</v>
      </c>
      <c r="L50" s="16" t="s">
        <v>120</v>
      </c>
      <c r="M50" s="14"/>
      <c r="N50" s="14"/>
      <c r="O50" s="61"/>
      <c r="P50" s="14"/>
      <c r="Q50" s="14"/>
      <c r="R50" s="14"/>
      <c r="S50" s="14"/>
      <c r="T50" s="14"/>
      <c r="U50" s="14"/>
      <c r="V50" s="14"/>
    </row>
    <row r="51" spans="1:22" ht="13.5" customHeight="1">
      <c r="A51" s="14"/>
      <c r="B51" s="14"/>
      <c r="C51" s="16" t="s">
        <v>204</v>
      </c>
      <c r="D51" s="14"/>
      <c r="E51" s="14"/>
      <c r="F51" s="14"/>
      <c r="G51" s="14"/>
      <c r="H51" s="14"/>
      <c r="I51" s="14"/>
      <c r="J51" s="14"/>
      <c r="K51" s="66">
        <f>'洪水1-1'!K47</f>
        <v>588</v>
      </c>
      <c r="L51" s="16" t="s">
        <v>121</v>
      </c>
      <c r="M51" s="14"/>
      <c r="N51" s="14"/>
      <c r="O51" s="61"/>
      <c r="P51" s="14"/>
      <c r="Q51" s="14"/>
      <c r="R51" s="14"/>
      <c r="S51" s="14"/>
      <c r="T51" s="14"/>
      <c r="U51" s="14"/>
      <c r="V51" s="14"/>
    </row>
    <row r="52" spans="1:22" ht="13.5" customHeight="1">
      <c r="A52" s="14"/>
      <c r="B52" s="14"/>
      <c r="C52" s="16" t="s">
        <v>205</v>
      </c>
      <c r="D52" s="14"/>
      <c r="E52" s="14"/>
      <c r="F52" s="14"/>
      <c r="G52" s="14"/>
      <c r="H52" s="14"/>
      <c r="I52" s="14"/>
      <c r="J52" s="14"/>
      <c r="K52" s="66">
        <f>'洪水1-1'!K48</f>
        <v>330</v>
      </c>
      <c r="L52" s="16" t="s">
        <v>121</v>
      </c>
      <c r="M52" s="14"/>
      <c r="N52" s="14"/>
      <c r="O52" s="61"/>
      <c r="P52" s="14"/>
      <c r="Q52" s="14"/>
      <c r="R52" s="14"/>
      <c r="S52" s="14"/>
      <c r="T52" s="14"/>
      <c r="U52" s="14"/>
      <c r="V52" s="14"/>
    </row>
    <row r="53" spans="1:22" ht="13.5" customHeight="1">
      <c r="A53" s="14"/>
      <c r="B53" s="14"/>
      <c r="C53" s="16" t="s">
        <v>206</v>
      </c>
      <c r="D53" s="14"/>
      <c r="E53" s="14"/>
      <c r="F53" s="14"/>
      <c r="G53" s="14"/>
      <c r="H53" s="14"/>
      <c r="I53" s="14"/>
      <c r="J53" s="14"/>
      <c r="K53" s="66">
        <f>'洪水1-1'!K49</f>
        <v>4500</v>
      </c>
      <c r="L53" s="16" t="s">
        <v>107</v>
      </c>
      <c r="M53" s="14"/>
      <c r="N53" s="14"/>
      <c r="O53" s="61"/>
      <c r="P53" s="14"/>
      <c r="Q53" s="14"/>
      <c r="R53" s="14"/>
      <c r="S53" s="14"/>
      <c r="T53" s="14"/>
      <c r="U53" s="14"/>
      <c r="V53" s="14"/>
    </row>
    <row r="54" spans="1:22" ht="13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1"/>
      <c r="P54" s="14"/>
      <c r="Q54" s="14"/>
      <c r="R54" s="14"/>
      <c r="S54" s="14"/>
      <c r="T54" s="14"/>
      <c r="U54" s="14"/>
      <c r="V54" s="14"/>
    </row>
    <row r="55" spans="1:22" ht="13.5" customHeight="1" thickBot="1">
      <c r="A55" s="14"/>
      <c r="B55" s="286" t="s">
        <v>9</v>
      </c>
      <c r="C55" s="286"/>
      <c r="D55" s="286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T55" s="12"/>
      <c r="U55" s="14"/>
      <c r="V55" s="14"/>
    </row>
    <row r="56" spans="1:22" ht="12.75" customHeight="1">
      <c r="A56" s="14"/>
      <c r="B56" s="287" t="s">
        <v>196</v>
      </c>
      <c r="C56" s="288"/>
      <c r="D56" s="288"/>
      <c r="E56" s="288"/>
      <c r="F56" s="289" t="s">
        <v>334</v>
      </c>
      <c r="G56" s="290"/>
      <c r="H56" s="290"/>
      <c r="I56" s="290"/>
      <c r="J56" s="204">
        <f>'土石流時1-3'!B8</f>
        <v>0</v>
      </c>
      <c r="K56" s="67" t="str">
        <f>'土石流時1-3'!C8</f>
        <v>≦</v>
      </c>
      <c r="L56" s="327">
        <f>'土石流時1-3'!D8</f>
        <v>5.81</v>
      </c>
      <c r="M56" s="327" t="str">
        <f>'土石流時1-3'!E8</f>
        <v>≦</v>
      </c>
      <c r="N56" s="67" t="str">
        <f>'土石流時1-3'!E8</f>
        <v>≦</v>
      </c>
      <c r="O56" s="327">
        <f>'土石流時1-3'!F8</f>
        <v>9.05</v>
      </c>
      <c r="P56" s="327">
        <f>'土石流時1-3'!H8</f>
        <v>0</v>
      </c>
      <c r="Q56" s="162" t="str">
        <f>'土石流時1-3'!G8</f>
        <v>OK</v>
      </c>
      <c r="R56" s="14"/>
      <c r="S56" s="14"/>
      <c r="T56" s="27"/>
      <c r="U56" s="14"/>
      <c r="V56" s="14"/>
    </row>
    <row r="57" spans="1:22" ht="15.75" customHeight="1">
      <c r="A57" s="14"/>
      <c r="B57" s="304" t="s">
        <v>219</v>
      </c>
      <c r="C57" s="305"/>
      <c r="D57" s="305"/>
      <c r="E57" s="305"/>
      <c r="F57" s="300" t="s">
        <v>220</v>
      </c>
      <c r="G57" s="301"/>
      <c r="H57" s="301"/>
      <c r="I57" s="301"/>
      <c r="J57" s="205">
        <f>'土石流時1-3'!D23</f>
        <v>4.93</v>
      </c>
      <c r="K57" s="69" t="str">
        <f>'土石流時1-3'!E23</f>
        <v>≧</v>
      </c>
      <c r="L57" s="331">
        <f>'土石流時1-3'!F23</f>
        <v>4</v>
      </c>
      <c r="M57" s="331"/>
      <c r="N57" s="218" t="str">
        <f>'土石流時1-3'!H23</f>
        <v>OK</v>
      </c>
      <c r="O57" s="69"/>
      <c r="P57" s="69"/>
      <c r="Q57" s="164"/>
      <c r="R57" s="14"/>
      <c r="S57" s="14"/>
      <c r="T57" s="12"/>
      <c r="U57" s="14"/>
      <c r="V57" s="14"/>
    </row>
    <row r="58" spans="1:22" ht="15.75" customHeight="1">
      <c r="A58" s="14"/>
      <c r="B58" s="278" t="s">
        <v>124</v>
      </c>
      <c r="C58" s="291"/>
      <c r="D58" s="291"/>
      <c r="E58" s="292"/>
      <c r="F58" s="302" t="s">
        <v>81</v>
      </c>
      <c r="G58" s="303"/>
      <c r="H58" s="303"/>
      <c r="I58" s="303"/>
      <c r="J58" s="207">
        <f>'土石流時1-3'!D58</f>
        <v>392.99</v>
      </c>
      <c r="K58" s="46" t="str">
        <f>'土石流時1-3'!E58</f>
        <v>≦</v>
      </c>
      <c r="L58" s="328">
        <f>'土石流時1-3'!G58</f>
        <v>1177</v>
      </c>
      <c r="M58" s="328"/>
      <c r="N58" s="46" t="str">
        <f>'土石流時1-3'!I58</f>
        <v>OK</v>
      </c>
      <c r="O58" s="46"/>
      <c r="P58" s="46"/>
      <c r="Q58" s="208"/>
      <c r="R58" s="14"/>
      <c r="S58" s="14"/>
      <c r="T58" s="12"/>
      <c r="U58" s="14"/>
      <c r="V58" s="14"/>
    </row>
    <row r="59" spans="1:22" ht="15.75" customHeight="1">
      <c r="A59" s="14"/>
      <c r="B59" s="278"/>
      <c r="C59" s="291"/>
      <c r="D59" s="291"/>
      <c r="E59" s="292"/>
      <c r="F59" s="296" t="s">
        <v>80</v>
      </c>
      <c r="G59" s="297"/>
      <c r="H59" s="297"/>
      <c r="I59" s="297"/>
      <c r="J59" s="205">
        <f>'土石流時1-3'!D60</f>
        <v>392.99</v>
      </c>
      <c r="K59" s="163" t="str">
        <f>'土石流時1-3'!E60</f>
        <v>≦</v>
      </c>
      <c r="L59" s="330">
        <f>'土石流時1-3'!G60</f>
        <v>4500</v>
      </c>
      <c r="M59" s="330"/>
      <c r="N59" s="163" t="str">
        <f>'土石流時1-3'!I60</f>
        <v>OK</v>
      </c>
      <c r="O59" s="163"/>
      <c r="P59" s="163"/>
      <c r="Q59" s="164"/>
      <c r="R59" s="14"/>
      <c r="S59" s="14"/>
      <c r="T59" s="12"/>
      <c r="U59" s="14"/>
      <c r="V59" s="14"/>
    </row>
    <row r="60" spans="1:22" ht="15.75" customHeight="1" thickBot="1">
      <c r="A60" s="14"/>
      <c r="B60" s="293"/>
      <c r="C60" s="294"/>
      <c r="D60" s="294"/>
      <c r="E60" s="295"/>
      <c r="F60" s="298"/>
      <c r="G60" s="299"/>
      <c r="H60" s="299"/>
      <c r="I60" s="299"/>
      <c r="J60" s="209">
        <f>'土石流時1-3'!D62</f>
        <v>30.66</v>
      </c>
      <c r="K60" s="210" t="str">
        <f>'土石流時1-3'!E62</f>
        <v>≧</v>
      </c>
      <c r="L60" s="329">
        <f>'土石流時1-3'!G62</f>
        <v>0</v>
      </c>
      <c r="M60" s="329"/>
      <c r="N60" s="210" t="str">
        <f>'土石流時1-3'!I62</f>
        <v>OK</v>
      </c>
      <c r="O60" s="210"/>
      <c r="P60" s="210"/>
      <c r="Q60" s="71"/>
      <c r="R60" s="14"/>
      <c r="S60" s="14"/>
      <c r="T60" s="14"/>
      <c r="U60" s="14"/>
      <c r="V60" s="14"/>
    </row>
    <row r="61" ht="15.75" customHeight="1">
      <c r="O61" s="10"/>
    </row>
  </sheetData>
  <sheetProtection/>
  <mergeCells count="22">
    <mergeCell ref="F59:I60"/>
    <mergeCell ref="L60:M60"/>
    <mergeCell ref="L59:M59"/>
    <mergeCell ref="L57:M57"/>
    <mergeCell ref="F32:G32"/>
    <mergeCell ref="I32:J32"/>
    <mergeCell ref="B57:E57"/>
    <mergeCell ref="B58:E60"/>
    <mergeCell ref="B55:D55"/>
    <mergeCell ref="B56:E56"/>
    <mergeCell ref="F56:I56"/>
    <mergeCell ref="O56:P56"/>
    <mergeCell ref="L58:M58"/>
    <mergeCell ref="F57:I57"/>
    <mergeCell ref="F58:I58"/>
    <mergeCell ref="L56:M56"/>
    <mergeCell ref="E12:F12"/>
    <mergeCell ref="I21:J21"/>
    <mergeCell ref="K26:L26"/>
    <mergeCell ref="F36:J36"/>
    <mergeCell ref="O26:P26"/>
    <mergeCell ref="I31:J31"/>
  </mergeCells>
  <printOptions/>
  <pageMargins left="0.7874015748031497" right="0" top="0.984251968503937" bottom="0.1968503937007874" header="0.5118110236220472" footer="0.5118110236220472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">
      <selection activeCell="L19" sqref="L19"/>
    </sheetView>
  </sheetViews>
  <sheetFormatPr defaultColWidth="9.50390625" defaultRowHeight="12" customHeight="1"/>
  <cols>
    <col min="1" max="1" width="10.75390625" style="14" customWidth="1"/>
    <col min="2" max="2" width="4.125" style="14" customWidth="1"/>
    <col min="3" max="3" width="5.75390625" style="14" customWidth="1"/>
    <col min="4" max="4" width="2.375" style="14" customWidth="1"/>
    <col min="5" max="5" width="5.75390625" style="14" customWidth="1"/>
    <col min="6" max="6" width="2.875" style="14" customWidth="1"/>
    <col min="7" max="7" width="5.75390625" style="14" customWidth="1"/>
    <col min="8" max="8" width="2.375" style="14" customWidth="1"/>
    <col min="9" max="9" width="5.75390625" style="14" customWidth="1"/>
    <col min="10" max="10" width="2.375" style="14" customWidth="1"/>
    <col min="11" max="11" width="5.75390625" style="14" customWidth="1"/>
    <col min="12" max="12" width="2.375" style="14" customWidth="1"/>
    <col min="13" max="14" width="8.75390625" style="14" customWidth="1"/>
    <col min="15" max="15" width="5.75390625" style="14" customWidth="1"/>
    <col min="16" max="16" width="2.875" style="14" customWidth="1"/>
    <col min="17" max="17" width="5.75390625" style="14" customWidth="1"/>
    <col min="18" max="18" width="2.375" style="14" customWidth="1"/>
    <col min="19" max="19" width="5.75390625" style="14" customWidth="1"/>
    <col min="20" max="20" width="2.375" style="14" customWidth="1"/>
    <col min="21" max="21" width="5.75390625" style="14" customWidth="1"/>
    <col min="22" max="22" width="2.375" style="14" customWidth="1"/>
    <col min="23" max="23" width="5.75390625" style="14" customWidth="1"/>
    <col min="24" max="24" width="2.375" style="14" customWidth="1"/>
    <col min="25" max="25" width="5.75390625" style="14" customWidth="1"/>
    <col min="26" max="26" width="2.375" style="14" customWidth="1"/>
    <col min="27" max="27" width="5.75390625" style="14" customWidth="1"/>
    <col min="28" max="28" width="9.75390625" style="14" customWidth="1"/>
    <col min="29" max="16384" width="9.50390625" style="14" customWidth="1"/>
  </cols>
  <sheetData>
    <row r="1" spans="7:27" ht="18" customHeight="1">
      <c r="G1" s="15" t="s">
        <v>75</v>
      </c>
      <c r="H1" s="16"/>
      <c r="I1" s="17" t="s">
        <v>125</v>
      </c>
      <c r="U1" s="18"/>
      <c r="W1" s="19"/>
      <c r="Y1" s="18"/>
      <c r="AA1" s="16"/>
    </row>
    <row r="2" ht="12" customHeight="1" thickBot="1"/>
    <row r="3" spans="1:28" ht="18" customHeight="1">
      <c r="A3" s="306" t="s">
        <v>22</v>
      </c>
      <c r="B3" s="308" t="s">
        <v>23</v>
      </c>
      <c r="C3" s="74"/>
      <c r="D3" s="75"/>
      <c r="E3" s="310" t="s">
        <v>24</v>
      </c>
      <c r="F3" s="310"/>
      <c r="G3" s="310"/>
      <c r="H3" s="310"/>
      <c r="I3" s="310"/>
      <c r="J3" s="310"/>
      <c r="K3" s="75"/>
      <c r="L3" s="75"/>
      <c r="M3" s="76" t="s">
        <v>25</v>
      </c>
      <c r="N3" s="76" t="s">
        <v>26</v>
      </c>
      <c r="O3" s="74"/>
      <c r="P3" s="75"/>
      <c r="Q3" s="310" t="s">
        <v>27</v>
      </c>
      <c r="R3" s="310"/>
      <c r="S3" s="310"/>
      <c r="T3" s="310"/>
      <c r="U3" s="310"/>
      <c r="V3" s="310"/>
      <c r="W3" s="310"/>
      <c r="X3" s="310"/>
      <c r="Y3" s="310"/>
      <c r="Z3" s="310"/>
      <c r="AA3" s="75"/>
      <c r="AB3" s="77" t="s">
        <v>72</v>
      </c>
    </row>
    <row r="4" spans="1:28" ht="18" customHeight="1" thickBot="1">
      <c r="A4" s="307"/>
      <c r="B4" s="309"/>
      <c r="C4" s="78"/>
      <c r="D4" s="79"/>
      <c r="E4" s="311"/>
      <c r="F4" s="311"/>
      <c r="G4" s="311"/>
      <c r="H4" s="311"/>
      <c r="I4" s="311"/>
      <c r="J4" s="311"/>
      <c r="K4" s="79"/>
      <c r="L4" s="79"/>
      <c r="M4" s="80" t="s">
        <v>44</v>
      </c>
      <c r="N4" s="80" t="s">
        <v>45</v>
      </c>
      <c r="O4" s="78"/>
      <c r="P4" s="79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79"/>
      <c r="AB4" s="81" t="s">
        <v>46</v>
      </c>
    </row>
    <row r="5" spans="1:29" ht="12.75" thickTop="1">
      <c r="A5" s="82"/>
      <c r="B5" s="83"/>
      <c r="C5" s="83"/>
      <c r="D5" s="84"/>
      <c r="E5" s="84"/>
      <c r="F5" s="84"/>
      <c r="G5" s="84"/>
      <c r="H5" s="84"/>
      <c r="I5" s="84"/>
      <c r="J5" s="84"/>
      <c r="K5" s="84"/>
      <c r="L5" s="85"/>
      <c r="M5" s="131"/>
      <c r="N5" s="131"/>
      <c r="O5" s="83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132"/>
      <c r="AC5" s="15"/>
    </row>
    <row r="6" spans="1:29" ht="12">
      <c r="A6" s="88" t="s">
        <v>28</v>
      </c>
      <c r="B6" s="80" t="s">
        <v>29</v>
      </c>
      <c r="C6" s="89"/>
      <c r="D6" s="79"/>
      <c r="E6" s="90"/>
      <c r="F6" s="79"/>
      <c r="G6" s="90"/>
      <c r="H6" s="79"/>
      <c r="I6" s="79"/>
      <c r="J6" s="79"/>
      <c r="K6" s="79"/>
      <c r="L6" s="90"/>
      <c r="M6" s="117"/>
      <c r="N6" s="117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133"/>
      <c r="AB6" s="118"/>
      <c r="AC6" s="20"/>
    </row>
    <row r="7" spans="1:28" ht="12" customHeight="1">
      <c r="A7" s="93"/>
      <c r="B7" s="94"/>
      <c r="C7" s="134">
        <v>1</v>
      </c>
      <c r="D7" s="95"/>
      <c r="E7" s="95"/>
      <c r="F7" s="95"/>
      <c r="G7" s="135"/>
      <c r="H7" s="95"/>
      <c r="I7" s="96">
        <v>2</v>
      </c>
      <c r="J7" s="95"/>
      <c r="K7" s="95"/>
      <c r="L7" s="95"/>
      <c r="M7" s="106"/>
      <c r="N7" s="106"/>
      <c r="O7" s="134">
        <v>2</v>
      </c>
      <c r="P7" s="112"/>
      <c r="Q7" s="112"/>
      <c r="R7" s="112"/>
      <c r="S7" s="112"/>
      <c r="T7" s="95"/>
      <c r="U7" s="95"/>
      <c r="V7" s="95"/>
      <c r="W7" s="95"/>
      <c r="X7" s="95"/>
      <c r="Y7" s="95"/>
      <c r="Z7" s="95"/>
      <c r="AA7" s="136"/>
      <c r="AB7" s="116"/>
    </row>
    <row r="8" spans="1:28" ht="12">
      <c r="A8" s="99"/>
      <c r="B8" s="80" t="s">
        <v>30</v>
      </c>
      <c r="C8" s="100">
        <v>2</v>
      </c>
      <c r="D8" s="101" t="s">
        <v>31</v>
      </c>
      <c r="E8" s="101">
        <f>'土石流時1-1'!K43</f>
        <v>22.56</v>
      </c>
      <c r="F8" s="101" t="s">
        <v>31</v>
      </c>
      <c r="G8" s="101">
        <f>'土石流時1-1'!I21</f>
        <v>0.35</v>
      </c>
      <c r="H8" s="101" t="s">
        <v>31</v>
      </c>
      <c r="I8" s="101">
        <f>'土石流時1-1'!B12</f>
        <v>11</v>
      </c>
      <c r="J8" s="79"/>
      <c r="K8" s="79"/>
      <c r="L8" s="79"/>
      <c r="M8" s="102">
        <f>ROUND(E8*G8*POWER(I8,2)/C8,2)</f>
        <v>477.71</v>
      </c>
      <c r="N8" s="102"/>
      <c r="O8" s="100">
        <v>3</v>
      </c>
      <c r="P8" s="101" t="s">
        <v>31</v>
      </c>
      <c r="Q8" s="101">
        <f>G8</f>
        <v>0.35</v>
      </c>
      <c r="R8" s="101" t="s">
        <v>31</v>
      </c>
      <c r="S8" s="101">
        <f>I8</f>
        <v>11</v>
      </c>
      <c r="T8" s="79"/>
      <c r="U8" s="79"/>
      <c r="V8" s="79"/>
      <c r="W8" s="79"/>
      <c r="X8" s="79"/>
      <c r="Y8" s="79"/>
      <c r="Z8" s="101" t="s">
        <v>10</v>
      </c>
      <c r="AA8" s="137">
        <f>O7/O8*Q8*S8</f>
        <v>2.57</v>
      </c>
      <c r="AB8" s="105">
        <f>ROUND(AA8*M8+AA8*N8,2)</f>
        <v>1227.71</v>
      </c>
    </row>
    <row r="9" spans="1:28" ht="12">
      <c r="A9" s="93"/>
      <c r="B9" s="94"/>
      <c r="C9" s="111"/>
      <c r="D9" s="112"/>
      <c r="E9" s="112"/>
      <c r="F9" s="112"/>
      <c r="G9" s="112"/>
      <c r="H9" s="112"/>
      <c r="I9" s="112"/>
      <c r="J9" s="95"/>
      <c r="K9" s="95"/>
      <c r="L9" s="95"/>
      <c r="M9" s="106"/>
      <c r="N9" s="106"/>
      <c r="O9" s="94"/>
      <c r="P9" s="95"/>
      <c r="Q9" s="95"/>
      <c r="R9" s="112"/>
      <c r="S9" s="138">
        <v>1</v>
      </c>
      <c r="T9" s="112"/>
      <c r="U9" s="112"/>
      <c r="V9" s="95"/>
      <c r="W9" s="95"/>
      <c r="X9" s="95"/>
      <c r="Y9" s="112"/>
      <c r="Z9" s="112"/>
      <c r="AA9" s="139"/>
      <c r="AB9" s="108"/>
    </row>
    <row r="10" spans="1:28" ht="12">
      <c r="A10" s="99"/>
      <c r="B10" s="80" t="s">
        <v>32</v>
      </c>
      <c r="C10" s="141">
        <f>E8</f>
        <v>22.56</v>
      </c>
      <c r="D10" s="101" t="str">
        <f>D8</f>
        <v>×</v>
      </c>
      <c r="E10" s="101">
        <f>'土石流時1-1'!H32</f>
        <v>3</v>
      </c>
      <c r="F10" s="101" t="str">
        <f>F8</f>
        <v>×</v>
      </c>
      <c r="G10" s="101">
        <f>I8</f>
        <v>11</v>
      </c>
      <c r="H10" s="90"/>
      <c r="I10" s="90"/>
      <c r="J10" s="79"/>
      <c r="K10" s="79"/>
      <c r="L10" s="79"/>
      <c r="M10" s="102">
        <f>ROUND(C10*E10*G10,2)</f>
        <v>744.48</v>
      </c>
      <c r="N10" s="102"/>
      <c r="O10" s="141">
        <f>G8</f>
        <v>0.35</v>
      </c>
      <c r="P10" s="101" t="s">
        <v>31</v>
      </c>
      <c r="Q10" s="101">
        <f>S8</f>
        <v>11</v>
      </c>
      <c r="R10" s="101" t="s">
        <v>17</v>
      </c>
      <c r="S10" s="110">
        <v>2</v>
      </c>
      <c r="T10" s="101" t="s">
        <v>31</v>
      </c>
      <c r="U10" s="101">
        <f>E10</f>
        <v>3</v>
      </c>
      <c r="V10" s="79"/>
      <c r="W10" s="79"/>
      <c r="X10" s="79"/>
      <c r="Y10" s="103"/>
      <c r="Z10" s="101" t="s">
        <v>10</v>
      </c>
      <c r="AA10" s="142">
        <f>ROUND(Q10*O10+U10/S10,2)</f>
        <v>5.35</v>
      </c>
      <c r="AB10" s="105">
        <f>ROUND(AA10*M10+AA10*N10,2)</f>
        <v>3982.97</v>
      </c>
    </row>
    <row r="11" spans="1:28" ht="13.5">
      <c r="A11" s="93"/>
      <c r="B11" s="94"/>
      <c r="C11" s="134">
        <v>1</v>
      </c>
      <c r="D11" s="112"/>
      <c r="E11" s="112"/>
      <c r="F11" s="112"/>
      <c r="G11" s="112"/>
      <c r="H11" s="112"/>
      <c r="I11" s="114">
        <v>2</v>
      </c>
      <c r="J11" s="95"/>
      <c r="K11" s="95"/>
      <c r="L11" s="95"/>
      <c r="M11" s="106"/>
      <c r="N11" s="106"/>
      <c r="O11" s="94"/>
      <c r="P11" s="95"/>
      <c r="Q11" s="95"/>
      <c r="R11" s="95"/>
      <c r="S11" s="95"/>
      <c r="T11" s="95"/>
      <c r="U11" s="138">
        <v>1</v>
      </c>
      <c r="V11" s="95"/>
      <c r="W11" s="95"/>
      <c r="X11" s="95"/>
      <c r="Y11" s="95"/>
      <c r="Z11" s="95"/>
      <c r="AA11" s="136"/>
      <c r="AB11" s="108"/>
    </row>
    <row r="12" spans="1:28" ht="12">
      <c r="A12" s="99"/>
      <c r="B12" s="80" t="s">
        <v>33</v>
      </c>
      <c r="C12" s="100">
        <v>2</v>
      </c>
      <c r="D12" s="101" t="str">
        <f>D10</f>
        <v>×</v>
      </c>
      <c r="E12" s="101">
        <f>C10</f>
        <v>22.56</v>
      </c>
      <c r="F12" s="101" t="str">
        <f>F10</f>
        <v>×</v>
      </c>
      <c r="G12" s="101">
        <f>'土石流時1-1'!E12</f>
        <v>0.2</v>
      </c>
      <c r="H12" s="101" t="str">
        <f>H8</f>
        <v>×</v>
      </c>
      <c r="I12" s="101">
        <f>G10</f>
        <v>11</v>
      </c>
      <c r="J12" s="79"/>
      <c r="K12" s="79"/>
      <c r="L12" s="79"/>
      <c r="M12" s="102">
        <f>ROUND(E12*G12*POWER(I12,2)/C12,2)</f>
        <v>272.98</v>
      </c>
      <c r="N12" s="102"/>
      <c r="O12" s="141">
        <f>O10</f>
        <v>0.35</v>
      </c>
      <c r="P12" s="101" t="s">
        <v>31</v>
      </c>
      <c r="Q12" s="101">
        <f>Q10</f>
        <v>11</v>
      </c>
      <c r="R12" s="101" t="s">
        <v>17</v>
      </c>
      <c r="S12" s="101">
        <f>U10</f>
        <v>3</v>
      </c>
      <c r="T12" s="101" t="s">
        <v>17</v>
      </c>
      <c r="U12" s="110">
        <v>3</v>
      </c>
      <c r="V12" s="101" t="s">
        <v>31</v>
      </c>
      <c r="W12" s="101">
        <f>G12</f>
        <v>0.2</v>
      </c>
      <c r="X12" s="101" t="s">
        <v>31</v>
      </c>
      <c r="Y12" s="101">
        <f>I12</f>
        <v>11</v>
      </c>
      <c r="Z12" s="101" t="s">
        <v>10</v>
      </c>
      <c r="AA12" s="142">
        <f>ROUND(Q12*O12+S12+Y12*W12/U12,2)</f>
        <v>7.58</v>
      </c>
      <c r="AB12" s="105">
        <f>ROUND(AA12*M12+AA12*N12,2)</f>
        <v>2069.19</v>
      </c>
    </row>
    <row r="13" spans="1:28" ht="12">
      <c r="A13" s="93"/>
      <c r="B13" s="94"/>
      <c r="C13" s="111"/>
      <c r="D13" s="112"/>
      <c r="E13" s="112"/>
      <c r="F13" s="112"/>
      <c r="G13" s="112"/>
      <c r="H13" s="112"/>
      <c r="I13" s="95"/>
      <c r="J13" s="95"/>
      <c r="K13" s="95"/>
      <c r="L13" s="112"/>
      <c r="M13" s="106"/>
      <c r="N13" s="106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39"/>
      <c r="AB13" s="108"/>
    </row>
    <row r="14" spans="1:28" ht="12">
      <c r="A14" s="88" t="s">
        <v>34</v>
      </c>
      <c r="B14" s="80" t="s">
        <v>35</v>
      </c>
      <c r="C14" s="119"/>
      <c r="D14" s="103"/>
      <c r="E14" s="103"/>
      <c r="F14" s="103"/>
      <c r="G14" s="103"/>
      <c r="H14" s="103"/>
      <c r="I14" s="79"/>
      <c r="J14" s="79"/>
      <c r="K14" s="79"/>
      <c r="L14" s="103"/>
      <c r="M14" s="102"/>
      <c r="N14" s="102"/>
      <c r="O14" s="119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42"/>
      <c r="AB14" s="105"/>
    </row>
    <row r="15" spans="1:28" ht="13.5">
      <c r="A15" s="93"/>
      <c r="B15" s="94"/>
      <c r="C15" s="134">
        <v>1</v>
      </c>
      <c r="D15" s="112"/>
      <c r="E15" s="112"/>
      <c r="F15" s="112"/>
      <c r="G15" s="112"/>
      <c r="H15" s="112"/>
      <c r="I15" s="95"/>
      <c r="J15" s="95"/>
      <c r="K15" s="95"/>
      <c r="L15" s="114">
        <v>2</v>
      </c>
      <c r="M15" s="106"/>
      <c r="N15" s="106"/>
      <c r="O15" s="134">
        <v>1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39"/>
      <c r="AB15" s="108"/>
    </row>
    <row r="16" spans="1:28" ht="12">
      <c r="A16" s="99"/>
      <c r="B16" s="80" t="s">
        <v>36</v>
      </c>
      <c r="C16" s="100">
        <v>2</v>
      </c>
      <c r="D16" s="101" t="s">
        <v>31</v>
      </c>
      <c r="E16" s="101">
        <f>'土石流時1-1'!K44</f>
        <v>11.77</v>
      </c>
      <c r="F16" s="101" t="s">
        <v>31</v>
      </c>
      <c r="G16" s="101">
        <f>G8</f>
        <v>0.35</v>
      </c>
      <c r="H16" s="101" t="s">
        <v>38</v>
      </c>
      <c r="I16" s="101">
        <f>I12</f>
        <v>11</v>
      </c>
      <c r="J16" s="101" t="s">
        <v>14</v>
      </c>
      <c r="K16" s="101">
        <f>'土石流時1-1'!T8</f>
        <v>0.6</v>
      </c>
      <c r="L16" s="79" t="s">
        <v>20</v>
      </c>
      <c r="M16" s="102">
        <f>ROUND(E16*G16*POWER(I16-K16,2)/C16,2)</f>
        <v>222.78</v>
      </c>
      <c r="N16" s="102"/>
      <c r="O16" s="100">
        <v>3</v>
      </c>
      <c r="P16" s="101" t="s">
        <v>31</v>
      </c>
      <c r="Q16" s="101">
        <f>G16</f>
        <v>0.35</v>
      </c>
      <c r="R16" s="101" t="s">
        <v>38</v>
      </c>
      <c r="S16" s="101">
        <f>I16</f>
        <v>11</v>
      </c>
      <c r="T16" s="101" t="s">
        <v>14</v>
      </c>
      <c r="U16" s="101">
        <f>K16</f>
        <v>0.6</v>
      </c>
      <c r="V16" s="79" t="s">
        <v>20</v>
      </c>
      <c r="W16" s="103"/>
      <c r="X16" s="103"/>
      <c r="Y16" s="103"/>
      <c r="Z16" s="101" t="s">
        <v>10</v>
      </c>
      <c r="AA16" s="142">
        <f>ROUND(Q16*(S16-U16)/O16,2)</f>
        <v>1.21</v>
      </c>
      <c r="AB16" s="105">
        <f>ROUND(AA16*M16+AA16*N16,2)</f>
        <v>269.56</v>
      </c>
    </row>
    <row r="17" spans="1:28" ht="13.5">
      <c r="A17" s="93"/>
      <c r="B17" s="94"/>
      <c r="C17" s="134">
        <v>1</v>
      </c>
      <c r="D17" s="112"/>
      <c r="E17" s="144"/>
      <c r="F17" s="112"/>
      <c r="G17" s="112"/>
      <c r="H17" s="95"/>
      <c r="I17" s="95"/>
      <c r="J17" s="114">
        <v>2</v>
      </c>
      <c r="K17" s="95"/>
      <c r="L17" s="95"/>
      <c r="M17" s="106"/>
      <c r="N17" s="106"/>
      <c r="O17" s="134">
        <v>1</v>
      </c>
      <c r="P17" s="112"/>
      <c r="Q17" s="143"/>
      <c r="R17" s="143"/>
      <c r="S17" s="143"/>
      <c r="T17" s="112"/>
      <c r="U17" s="112"/>
      <c r="V17" s="112"/>
      <c r="W17" s="112"/>
      <c r="X17" s="112"/>
      <c r="Y17" s="112"/>
      <c r="Z17" s="112"/>
      <c r="AA17" s="139"/>
      <c r="AB17" s="108"/>
    </row>
    <row r="18" spans="1:28" ht="12">
      <c r="A18" s="99"/>
      <c r="B18" s="80" t="s">
        <v>40</v>
      </c>
      <c r="C18" s="100">
        <v>2</v>
      </c>
      <c r="D18" s="101" t="s">
        <v>31</v>
      </c>
      <c r="E18" s="101">
        <f>E16</f>
        <v>11.77</v>
      </c>
      <c r="F18" s="101" t="s">
        <v>38</v>
      </c>
      <c r="G18" s="101">
        <f>I16</f>
        <v>11</v>
      </c>
      <c r="H18" s="101" t="s">
        <v>14</v>
      </c>
      <c r="I18" s="101">
        <f>K16</f>
        <v>0.6</v>
      </c>
      <c r="J18" s="79" t="s">
        <v>20</v>
      </c>
      <c r="K18" s="79"/>
      <c r="L18" s="79"/>
      <c r="M18" s="102"/>
      <c r="N18" s="102">
        <f>ROUND(E18*POWER(G18-I18,2)/C18,2)</f>
        <v>636.52</v>
      </c>
      <c r="O18" s="100">
        <v>3</v>
      </c>
      <c r="P18" s="101" t="s">
        <v>38</v>
      </c>
      <c r="Q18" s="101">
        <f>G18</f>
        <v>11</v>
      </c>
      <c r="R18" s="101" t="s">
        <v>14</v>
      </c>
      <c r="S18" s="101">
        <f>I18</f>
        <v>0.6</v>
      </c>
      <c r="T18" s="79" t="s">
        <v>20</v>
      </c>
      <c r="U18" s="103"/>
      <c r="V18" s="103"/>
      <c r="W18" s="103"/>
      <c r="X18" s="103"/>
      <c r="Y18" s="103"/>
      <c r="Z18" s="101" t="s">
        <v>10</v>
      </c>
      <c r="AA18" s="142">
        <f>ROUND((Q18-S18)/3,2)</f>
        <v>3.47</v>
      </c>
      <c r="AB18" s="105">
        <f>ROUND(AA18*M18+AA18*N18,2)</f>
        <v>2208.72</v>
      </c>
    </row>
    <row r="19" spans="1:28" ht="12">
      <c r="A19" s="93"/>
      <c r="B19" s="94"/>
      <c r="C19" s="111"/>
      <c r="D19" s="112"/>
      <c r="E19" s="144"/>
      <c r="F19" s="112"/>
      <c r="G19" s="112"/>
      <c r="H19" s="95"/>
      <c r="I19" s="95"/>
      <c r="J19" s="95"/>
      <c r="K19" s="95"/>
      <c r="L19" s="95"/>
      <c r="M19" s="106"/>
      <c r="N19" s="106"/>
      <c r="O19" s="134">
        <v>1</v>
      </c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39"/>
      <c r="AB19" s="108"/>
    </row>
    <row r="20" spans="1:28" ht="12">
      <c r="A20" s="99"/>
      <c r="B20" s="80" t="s">
        <v>41</v>
      </c>
      <c r="C20" s="141">
        <f>I20</f>
        <v>0.6</v>
      </c>
      <c r="D20" s="101" t="s">
        <v>31</v>
      </c>
      <c r="E20" s="101">
        <f>E18</f>
        <v>11.77</v>
      </c>
      <c r="F20" s="101" t="s">
        <v>38</v>
      </c>
      <c r="G20" s="101">
        <f>G18</f>
        <v>11</v>
      </c>
      <c r="H20" s="101" t="s">
        <v>14</v>
      </c>
      <c r="I20" s="101">
        <f>I18</f>
        <v>0.6</v>
      </c>
      <c r="J20" s="79" t="s">
        <v>20</v>
      </c>
      <c r="K20" s="79"/>
      <c r="L20" s="79"/>
      <c r="M20" s="102"/>
      <c r="N20" s="102">
        <f>ROUND(E20*(G20-I20)*C20,2)</f>
        <v>73.44</v>
      </c>
      <c r="O20" s="100">
        <v>2</v>
      </c>
      <c r="P20" s="101" t="s">
        <v>38</v>
      </c>
      <c r="Q20" s="101">
        <f>G20</f>
        <v>11</v>
      </c>
      <c r="R20" s="101" t="s">
        <v>14</v>
      </c>
      <c r="S20" s="101">
        <f>I20</f>
        <v>0.6</v>
      </c>
      <c r="T20" s="79" t="s">
        <v>20</v>
      </c>
      <c r="U20" s="103"/>
      <c r="V20" s="103"/>
      <c r="W20" s="103"/>
      <c r="X20" s="103"/>
      <c r="Y20" s="103"/>
      <c r="Z20" s="101" t="s">
        <v>10</v>
      </c>
      <c r="AA20" s="142">
        <f>ROUND((Q20-S20)/2,2)</f>
        <v>5.2</v>
      </c>
      <c r="AB20" s="105">
        <f>ROUND(AA20*M20+AA20*N20,2)</f>
        <v>381.89</v>
      </c>
    </row>
    <row r="21" spans="1:28" ht="12">
      <c r="A21" s="93"/>
      <c r="B21" s="94"/>
      <c r="C21" s="111"/>
      <c r="D21" s="112"/>
      <c r="E21" s="112"/>
      <c r="F21" s="112"/>
      <c r="G21" s="107"/>
      <c r="H21" s="112"/>
      <c r="I21" s="112"/>
      <c r="J21" s="95"/>
      <c r="K21" s="95"/>
      <c r="L21" s="95"/>
      <c r="M21" s="106"/>
      <c r="N21" s="106"/>
      <c r="O21" s="111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39"/>
      <c r="AB21" s="108"/>
    </row>
    <row r="22" spans="1:28" ht="12">
      <c r="A22" s="88" t="s">
        <v>52</v>
      </c>
      <c r="B22" s="80" t="s">
        <v>53</v>
      </c>
      <c r="C22" s="109"/>
      <c r="D22" s="103"/>
      <c r="E22" s="90"/>
      <c r="F22" s="103"/>
      <c r="G22" s="90"/>
      <c r="H22" s="103"/>
      <c r="I22" s="103"/>
      <c r="J22" s="79"/>
      <c r="K22" s="79"/>
      <c r="L22" s="79"/>
      <c r="M22" s="102"/>
      <c r="N22" s="102"/>
      <c r="O22" s="109"/>
      <c r="P22" s="103"/>
      <c r="Q22" s="90"/>
      <c r="R22" s="103"/>
      <c r="S22" s="90"/>
      <c r="T22" s="103"/>
      <c r="U22" s="103"/>
      <c r="V22" s="103"/>
      <c r="W22" s="103"/>
      <c r="X22" s="103"/>
      <c r="Y22" s="103"/>
      <c r="Z22" s="103"/>
      <c r="AA22" s="142"/>
      <c r="AB22" s="105"/>
    </row>
    <row r="23" spans="1:28" ht="13.5">
      <c r="A23" s="93"/>
      <c r="B23" s="94"/>
      <c r="C23" s="134">
        <v>1</v>
      </c>
      <c r="D23" s="112"/>
      <c r="E23" s="112"/>
      <c r="F23" s="112"/>
      <c r="G23" s="112"/>
      <c r="H23" s="112"/>
      <c r="I23" s="95"/>
      <c r="J23" s="95"/>
      <c r="K23" s="95"/>
      <c r="L23" s="114">
        <v>2</v>
      </c>
      <c r="M23" s="106"/>
      <c r="N23" s="106"/>
      <c r="O23" s="134">
        <v>1</v>
      </c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39"/>
      <c r="AB23" s="108"/>
    </row>
    <row r="24" spans="1:28" ht="12" customHeight="1">
      <c r="A24" s="99"/>
      <c r="B24" s="80" t="s">
        <v>54</v>
      </c>
      <c r="C24" s="100">
        <v>2</v>
      </c>
      <c r="D24" s="101" t="s">
        <v>31</v>
      </c>
      <c r="E24" s="101">
        <f>'土石流時1-1'!K45</f>
        <v>8.24</v>
      </c>
      <c r="F24" s="101" t="s">
        <v>31</v>
      </c>
      <c r="G24" s="101">
        <f>G16</f>
        <v>0.35</v>
      </c>
      <c r="H24" s="101" t="s">
        <v>38</v>
      </c>
      <c r="I24" s="101">
        <f>G20</f>
        <v>11</v>
      </c>
      <c r="J24" s="101" t="s">
        <v>14</v>
      </c>
      <c r="K24" s="101">
        <f>I20</f>
        <v>0.6</v>
      </c>
      <c r="L24" s="79" t="s">
        <v>20</v>
      </c>
      <c r="M24" s="102">
        <f>ROUND(E24*G24*POWER(I24-K24,2)/C24,2)</f>
        <v>155.97</v>
      </c>
      <c r="N24" s="102"/>
      <c r="O24" s="100">
        <v>3</v>
      </c>
      <c r="P24" s="101" t="s">
        <v>31</v>
      </c>
      <c r="Q24" s="101">
        <f>G24</f>
        <v>0.35</v>
      </c>
      <c r="R24" s="101" t="s">
        <v>38</v>
      </c>
      <c r="S24" s="101">
        <f>I24</f>
        <v>11</v>
      </c>
      <c r="T24" s="101" t="s">
        <v>14</v>
      </c>
      <c r="U24" s="101">
        <f>K24</f>
        <v>0.6</v>
      </c>
      <c r="V24" s="79" t="s">
        <v>20</v>
      </c>
      <c r="W24" s="103"/>
      <c r="X24" s="103"/>
      <c r="Y24" s="103"/>
      <c r="Z24" s="101" t="s">
        <v>10</v>
      </c>
      <c r="AA24" s="142">
        <f>ROUND(Q24*(S24-U24)/O24,2)</f>
        <v>1.21</v>
      </c>
      <c r="AB24" s="105">
        <f>ROUND(AA24*M24+AA24*N24,2)</f>
        <v>188.72</v>
      </c>
    </row>
    <row r="25" spans="1:28" ht="13.5">
      <c r="A25" s="93"/>
      <c r="B25" s="94"/>
      <c r="C25" s="134">
        <v>1</v>
      </c>
      <c r="D25" s="112"/>
      <c r="E25" s="112"/>
      <c r="F25" s="112"/>
      <c r="G25" s="112"/>
      <c r="H25" s="112"/>
      <c r="I25" s="95"/>
      <c r="J25" s="95"/>
      <c r="K25" s="95"/>
      <c r="L25" s="114">
        <v>2</v>
      </c>
      <c r="M25" s="106"/>
      <c r="N25" s="145"/>
      <c r="O25" s="134">
        <v>1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39"/>
      <c r="AB25" s="108"/>
    </row>
    <row r="26" spans="1:28" ht="12">
      <c r="A26" s="99"/>
      <c r="B26" s="80" t="s">
        <v>55</v>
      </c>
      <c r="C26" s="100">
        <v>2</v>
      </c>
      <c r="D26" s="101" t="s">
        <v>31</v>
      </c>
      <c r="E26" s="101">
        <f>'土石流時1-1'!K48</f>
        <v>0.3</v>
      </c>
      <c r="F26" s="101" t="s">
        <v>31</v>
      </c>
      <c r="G26" s="101">
        <f>E24</f>
        <v>8.24</v>
      </c>
      <c r="H26" s="101" t="s">
        <v>38</v>
      </c>
      <c r="I26" s="101">
        <f>I24</f>
        <v>11</v>
      </c>
      <c r="J26" s="101" t="s">
        <v>14</v>
      </c>
      <c r="K26" s="101">
        <f>K24</f>
        <v>0.6</v>
      </c>
      <c r="L26" s="79" t="s">
        <v>20</v>
      </c>
      <c r="M26" s="102"/>
      <c r="N26" s="102">
        <f>ROUND(E26*G26*POWER(I26-K26,2)/C26,2)</f>
        <v>133.69</v>
      </c>
      <c r="O26" s="100">
        <v>3</v>
      </c>
      <c r="P26" s="101" t="s">
        <v>38</v>
      </c>
      <c r="Q26" s="101">
        <f>I26</f>
        <v>11</v>
      </c>
      <c r="R26" s="101" t="s">
        <v>14</v>
      </c>
      <c r="S26" s="101">
        <f>K26</f>
        <v>0.6</v>
      </c>
      <c r="T26" s="79" t="s">
        <v>20</v>
      </c>
      <c r="U26" s="103"/>
      <c r="V26" s="103"/>
      <c r="W26" s="103"/>
      <c r="X26" s="103"/>
      <c r="Y26" s="103"/>
      <c r="Z26" s="101" t="s">
        <v>10</v>
      </c>
      <c r="AA26" s="142">
        <f>ROUND((Q26-S26)/3,2)</f>
        <v>3.47</v>
      </c>
      <c r="AB26" s="105">
        <f>ROUND(AA26*M26+AA26*N26,2)</f>
        <v>463.9</v>
      </c>
    </row>
    <row r="27" spans="1:28" ht="12">
      <c r="A27" s="93"/>
      <c r="B27" s="94"/>
      <c r="C27" s="111"/>
      <c r="D27" s="112"/>
      <c r="E27" s="112"/>
      <c r="F27" s="112"/>
      <c r="G27" s="112"/>
      <c r="H27" s="112"/>
      <c r="I27" s="112"/>
      <c r="J27" s="95"/>
      <c r="K27" s="95"/>
      <c r="L27" s="95"/>
      <c r="M27" s="145"/>
      <c r="N27" s="145"/>
      <c r="O27" s="134">
        <v>1</v>
      </c>
      <c r="P27" s="112"/>
      <c r="Q27" s="143"/>
      <c r="R27" s="143"/>
      <c r="S27" s="143"/>
      <c r="T27" s="112"/>
      <c r="U27" s="112"/>
      <c r="V27" s="112"/>
      <c r="W27" s="112"/>
      <c r="X27" s="112"/>
      <c r="Y27" s="112"/>
      <c r="Z27" s="112"/>
      <c r="AA27" s="139"/>
      <c r="AB27" s="146"/>
    </row>
    <row r="28" spans="1:28" ht="12">
      <c r="A28" s="99"/>
      <c r="B28" s="80" t="s">
        <v>56</v>
      </c>
      <c r="C28" s="141">
        <f>E26</f>
        <v>0.3</v>
      </c>
      <c r="D28" s="101" t="s">
        <v>31</v>
      </c>
      <c r="E28" s="101">
        <f>'土石流時1-1'!K47</f>
        <v>7.41</v>
      </c>
      <c r="F28" s="101" t="s">
        <v>31</v>
      </c>
      <c r="G28" s="101">
        <f>K26</f>
        <v>0.6</v>
      </c>
      <c r="H28" s="101" t="s">
        <v>38</v>
      </c>
      <c r="I28" s="101">
        <f>I26</f>
        <v>11</v>
      </c>
      <c r="J28" s="101" t="s">
        <v>14</v>
      </c>
      <c r="K28" s="101">
        <f>K26</f>
        <v>0.6</v>
      </c>
      <c r="L28" s="79" t="s">
        <v>20</v>
      </c>
      <c r="M28" s="102"/>
      <c r="N28" s="102">
        <f>ROUND(E28*G28*(I28-K28)*C28,2)</f>
        <v>13.87</v>
      </c>
      <c r="O28" s="100">
        <v>2</v>
      </c>
      <c r="P28" s="101" t="s">
        <v>38</v>
      </c>
      <c r="Q28" s="101">
        <f>I28</f>
        <v>11</v>
      </c>
      <c r="R28" s="101" t="s">
        <v>14</v>
      </c>
      <c r="S28" s="101">
        <f>K28</f>
        <v>0.6</v>
      </c>
      <c r="T28" s="79" t="s">
        <v>20</v>
      </c>
      <c r="U28" s="103"/>
      <c r="V28" s="103"/>
      <c r="W28" s="103"/>
      <c r="X28" s="103"/>
      <c r="Y28" s="103"/>
      <c r="Z28" s="101" t="s">
        <v>10</v>
      </c>
      <c r="AA28" s="142">
        <f>ROUND((Q28-S28)/2,2)</f>
        <v>5.2</v>
      </c>
      <c r="AB28" s="105">
        <f>ROUND(AA28*M28+AA28*N28,2)</f>
        <v>72.12</v>
      </c>
    </row>
    <row r="29" spans="1:28" ht="12">
      <c r="A29" s="93"/>
      <c r="B29" s="94"/>
      <c r="C29" s="111"/>
      <c r="D29" s="112"/>
      <c r="E29" s="112"/>
      <c r="F29" s="112"/>
      <c r="G29" s="112"/>
      <c r="H29" s="112"/>
      <c r="I29" s="112"/>
      <c r="J29" s="95"/>
      <c r="K29" s="95"/>
      <c r="L29" s="95"/>
      <c r="M29" s="145"/>
      <c r="N29" s="145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47"/>
      <c r="AB29" s="146"/>
    </row>
    <row r="30" spans="1:28" ht="12">
      <c r="A30" s="88" t="s">
        <v>57</v>
      </c>
      <c r="B30" s="80" t="s">
        <v>58</v>
      </c>
      <c r="C30" s="119"/>
      <c r="D30" s="103"/>
      <c r="E30" s="103"/>
      <c r="F30" s="103"/>
      <c r="G30" s="103"/>
      <c r="H30" s="103"/>
      <c r="I30" s="103"/>
      <c r="J30" s="79"/>
      <c r="K30" s="79"/>
      <c r="L30" s="79"/>
      <c r="M30" s="148"/>
      <c r="N30" s="148"/>
      <c r="O30" s="119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37"/>
      <c r="AB30" s="149"/>
    </row>
    <row r="31" spans="1:28" ht="12">
      <c r="A31" s="93"/>
      <c r="B31" s="94"/>
      <c r="C31" s="111"/>
      <c r="D31" s="112"/>
      <c r="E31" s="112"/>
      <c r="F31" s="112"/>
      <c r="G31" s="112"/>
      <c r="H31" s="112"/>
      <c r="I31" s="112"/>
      <c r="J31" s="95"/>
      <c r="K31" s="95"/>
      <c r="L31" s="95"/>
      <c r="M31" s="145"/>
      <c r="N31" s="145"/>
      <c r="O31" s="134">
        <v>1</v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47"/>
      <c r="AB31" s="146"/>
    </row>
    <row r="32" spans="1:28" ht="12">
      <c r="A32" s="99"/>
      <c r="B32" s="80" t="s">
        <v>63</v>
      </c>
      <c r="C32" s="141">
        <f>'土石流時1-1'!K46</f>
        <v>19.18</v>
      </c>
      <c r="D32" s="101" t="s">
        <v>31</v>
      </c>
      <c r="E32" s="101">
        <f>K28</f>
        <v>0.6</v>
      </c>
      <c r="F32" s="101" t="s">
        <v>31</v>
      </c>
      <c r="G32" s="101">
        <f>G24</f>
        <v>0.35</v>
      </c>
      <c r="H32" s="101" t="s">
        <v>38</v>
      </c>
      <c r="I32" s="101">
        <f>I28</f>
        <v>11</v>
      </c>
      <c r="J32" s="101" t="s">
        <v>14</v>
      </c>
      <c r="K32" s="101">
        <f>K28</f>
        <v>0.6</v>
      </c>
      <c r="L32" s="79" t="s">
        <v>20</v>
      </c>
      <c r="M32" s="102">
        <f>ROUND(E32*G32*(I32-K32)*C32,2)</f>
        <v>41.89</v>
      </c>
      <c r="N32" s="148"/>
      <c r="O32" s="100">
        <v>2</v>
      </c>
      <c r="P32" s="101" t="s">
        <v>31</v>
      </c>
      <c r="Q32" s="101">
        <f>G32</f>
        <v>0.35</v>
      </c>
      <c r="R32" s="101" t="s">
        <v>38</v>
      </c>
      <c r="S32" s="101">
        <f>I32</f>
        <v>11</v>
      </c>
      <c r="T32" s="101" t="s">
        <v>14</v>
      </c>
      <c r="U32" s="101">
        <f>K32</f>
        <v>0.6</v>
      </c>
      <c r="V32" s="79" t="s">
        <v>20</v>
      </c>
      <c r="W32" s="103"/>
      <c r="X32" s="103"/>
      <c r="Y32" s="103"/>
      <c r="Z32" s="101" t="s">
        <v>10</v>
      </c>
      <c r="AA32" s="142">
        <f>ROUND(Q32*(S32-U32)/O32,2)</f>
        <v>1.82</v>
      </c>
      <c r="AB32" s="105">
        <f>ROUND(AA32*M32+AA32*N32,2)</f>
        <v>76.24</v>
      </c>
    </row>
    <row r="33" spans="1:28" ht="12" customHeight="1">
      <c r="A33" s="93"/>
      <c r="B33" s="94"/>
      <c r="C33" s="134">
        <v>1</v>
      </c>
      <c r="D33" s="112"/>
      <c r="E33" s="112"/>
      <c r="F33" s="112"/>
      <c r="G33" s="112"/>
      <c r="H33" s="112"/>
      <c r="I33" s="114">
        <v>2</v>
      </c>
      <c r="J33" s="95"/>
      <c r="K33" s="95"/>
      <c r="L33" s="95"/>
      <c r="M33" s="106"/>
      <c r="N33" s="145"/>
      <c r="O33" s="111"/>
      <c r="P33" s="112"/>
      <c r="Q33" s="112"/>
      <c r="R33" s="112"/>
      <c r="S33" s="95"/>
      <c r="T33" s="95"/>
      <c r="U33" s="138">
        <v>1</v>
      </c>
      <c r="V33" s="95"/>
      <c r="W33" s="112"/>
      <c r="X33" s="112"/>
      <c r="Y33" s="112"/>
      <c r="Z33" s="112"/>
      <c r="AA33" s="147"/>
      <c r="AB33" s="146"/>
    </row>
    <row r="34" spans="1:28" ht="12">
      <c r="A34" s="99"/>
      <c r="B34" s="80" t="s">
        <v>64</v>
      </c>
      <c r="C34" s="100">
        <v>2</v>
      </c>
      <c r="D34" s="101" t="s">
        <v>31</v>
      </c>
      <c r="E34" s="101">
        <f>C32</f>
        <v>19.18</v>
      </c>
      <c r="F34" s="101" t="s">
        <v>31</v>
      </c>
      <c r="G34" s="101">
        <f>G32</f>
        <v>0.35</v>
      </c>
      <c r="H34" s="101" t="s">
        <v>31</v>
      </c>
      <c r="I34" s="101">
        <f>K32</f>
        <v>0.6</v>
      </c>
      <c r="J34" s="79"/>
      <c r="K34" s="79"/>
      <c r="L34" s="79"/>
      <c r="M34" s="102">
        <f>ROUND(E34*G34*POWER(I34,2)/C34,2)</f>
        <v>1.21</v>
      </c>
      <c r="N34" s="148"/>
      <c r="O34" s="141">
        <f>G34</f>
        <v>0.35</v>
      </c>
      <c r="P34" s="101" t="s">
        <v>38</v>
      </c>
      <c r="Q34" s="101">
        <f>I32</f>
        <v>11</v>
      </c>
      <c r="R34" s="101" t="s">
        <v>14</v>
      </c>
      <c r="S34" s="101">
        <f>K32</f>
        <v>0.6</v>
      </c>
      <c r="T34" s="79" t="s">
        <v>59</v>
      </c>
      <c r="U34" s="110">
        <v>3</v>
      </c>
      <c r="V34" s="101" t="s">
        <v>31</v>
      </c>
      <c r="W34" s="101">
        <f>G34</f>
        <v>0.35</v>
      </c>
      <c r="X34" s="101" t="s">
        <v>31</v>
      </c>
      <c r="Y34" s="90">
        <f>I34</f>
        <v>0.6</v>
      </c>
      <c r="Z34" s="101" t="s">
        <v>10</v>
      </c>
      <c r="AA34" s="142">
        <f>ROUND(O34*(Q34-S34)+W34*Y34/U34,2)</f>
        <v>3.71</v>
      </c>
      <c r="AB34" s="105">
        <f>ROUND(AA34*M34+AA34*N34,2)</f>
        <v>4.49</v>
      </c>
    </row>
    <row r="35" spans="1:28" ht="12">
      <c r="A35" s="93"/>
      <c r="B35" s="94"/>
      <c r="C35" s="111"/>
      <c r="D35" s="112"/>
      <c r="E35" s="112"/>
      <c r="F35" s="112"/>
      <c r="G35" s="112"/>
      <c r="H35" s="112"/>
      <c r="I35" s="112"/>
      <c r="J35" s="95"/>
      <c r="K35" s="95"/>
      <c r="L35" s="95"/>
      <c r="M35" s="145"/>
      <c r="N35" s="145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47"/>
      <c r="AB35" s="108"/>
    </row>
    <row r="36" spans="1:28" ht="12">
      <c r="A36" s="88" t="s">
        <v>60</v>
      </c>
      <c r="B36" s="80" t="s">
        <v>61</v>
      </c>
      <c r="C36" s="119"/>
      <c r="D36" s="103"/>
      <c r="E36" s="103"/>
      <c r="F36" s="103"/>
      <c r="G36" s="103"/>
      <c r="H36" s="103"/>
      <c r="I36" s="103"/>
      <c r="J36" s="79"/>
      <c r="K36" s="79"/>
      <c r="L36" s="79"/>
      <c r="M36" s="102"/>
      <c r="N36" s="102"/>
      <c r="O36" s="119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37"/>
      <c r="AB36" s="105"/>
    </row>
    <row r="37" spans="1:28" ht="13.5">
      <c r="A37" s="93"/>
      <c r="B37" s="94"/>
      <c r="C37" s="134"/>
      <c r="D37" s="143"/>
      <c r="E37" s="199">
        <f>C32</f>
        <v>19.18</v>
      </c>
      <c r="F37" s="143"/>
      <c r="G37" s="143"/>
      <c r="H37" s="112"/>
      <c r="I37" s="114">
        <v>2</v>
      </c>
      <c r="J37" s="95"/>
      <c r="K37" s="95"/>
      <c r="L37" s="95"/>
      <c r="M37" s="145"/>
      <c r="N37" s="145"/>
      <c r="O37" s="111"/>
      <c r="P37" s="112"/>
      <c r="Q37" s="143"/>
      <c r="R37" s="143"/>
      <c r="S37" s="138"/>
      <c r="T37" s="143"/>
      <c r="U37" s="143">
        <f>G38</f>
        <v>0.6</v>
      </c>
      <c r="V37" s="112"/>
      <c r="W37" s="112"/>
      <c r="X37" s="112"/>
      <c r="Y37" s="112"/>
      <c r="Z37" s="112"/>
      <c r="AA37" s="147"/>
      <c r="AB37" s="146"/>
    </row>
    <row r="38" spans="1:28" ht="12">
      <c r="A38" s="99"/>
      <c r="B38" s="80" t="s">
        <v>61</v>
      </c>
      <c r="C38" s="140">
        <v>1</v>
      </c>
      <c r="D38" s="101" t="s">
        <v>31</v>
      </c>
      <c r="E38" s="199">
        <f>'土石流時1-1'!K50</f>
        <v>9.81</v>
      </c>
      <c r="F38" s="101" t="s">
        <v>31</v>
      </c>
      <c r="G38" s="101">
        <f>K32</f>
        <v>0.6</v>
      </c>
      <c r="H38" s="101" t="s">
        <v>31</v>
      </c>
      <c r="I38" s="101">
        <f>'土石流時1-1'!K42</f>
        <v>4</v>
      </c>
      <c r="J38" s="79"/>
      <c r="K38" s="79"/>
      <c r="L38" s="79"/>
      <c r="M38" s="148"/>
      <c r="N38" s="102">
        <f>ROUND(E37/E38*G38*POWER(I38,2)*C38,2)</f>
        <v>18.77</v>
      </c>
      <c r="O38" s="109"/>
      <c r="P38" s="101" t="s">
        <v>62</v>
      </c>
      <c r="Q38" s="101">
        <f>Q34</f>
        <v>11</v>
      </c>
      <c r="R38" s="101" t="s">
        <v>14</v>
      </c>
      <c r="S38" s="101">
        <f>S34</f>
        <v>0.6</v>
      </c>
      <c r="T38" s="79" t="s">
        <v>59</v>
      </c>
      <c r="U38" s="95">
        <v>2</v>
      </c>
      <c r="V38" s="103"/>
      <c r="W38" s="103"/>
      <c r="X38" s="103"/>
      <c r="Y38" s="103"/>
      <c r="Z38" s="101" t="s">
        <v>10</v>
      </c>
      <c r="AA38" s="142">
        <f>Q38-S38+U37/U38</f>
        <v>10.7</v>
      </c>
      <c r="AB38" s="105">
        <f>ROUND(AA38*M38+AA38*N38,2)</f>
        <v>200.84</v>
      </c>
    </row>
    <row r="39" spans="1:28" ht="12">
      <c r="A39" s="93"/>
      <c r="B39" s="94"/>
      <c r="C39" s="111"/>
      <c r="D39" s="112"/>
      <c r="E39" s="112"/>
      <c r="F39" s="112"/>
      <c r="G39" s="112"/>
      <c r="H39" s="112"/>
      <c r="I39" s="95"/>
      <c r="J39" s="95"/>
      <c r="K39" s="95"/>
      <c r="L39" s="112"/>
      <c r="M39" s="106" t="s">
        <v>42</v>
      </c>
      <c r="N39" s="106" t="s">
        <v>42</v>
      </c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08" t="s">
        <v>74</v>
      </c>
    </row>
    <row r="40" spans="1:28" ht="12.75" thickBot="1">
      <c r="A40" s="150" t="s">
        <v>43</v>
      </c>
      <c r="B40" s="122"/>
      <c r="C40" s="123"/>
      <c r="D40" s="124"/>
      <c r="E40" s="124"/>
      <c r="F40" s="124"/>
      <c r="G40" s="124"/>
      <c r="H40" s="124"/>
      <c r="I40" s="125"/>
      <c r="J40" s="125"/>
      <c r="K40" s="125"/>
      <c r="L40" s="124"/>
      <c r="M40" s="151">
        <f>SUM(M6:M38)</f>
        <v>1917.02</v>
      </c>
      <c r="N40" s="151">
        <f>SUM(N6:N38)</f>
        <v>876.29</v>
      </c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52"/>
      <c r="AB40" s="153">
        <f>SUM(AB6:AB38)</f>
        <v>11146.35</v>
      </c>
    </row>
    <row r="41" spans="1:28" ht="12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133"/>
      <c r="N41" s="133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128"/>
    </row>
    <row r="42" spans="1:28" ht="12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</row>
    <row r="43" spans="1:28" ht="12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</row>
    <row r="44" spans="1:28" ht="12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1:28" ht="12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</row>
    <row r="46" spans="1:28" ht="12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1:28" ht="12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</row>
    <row r="48" spans="1:28" ht="12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1:28" ht="12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1:28" ht="12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1:28" ht="12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</row>
    <row r="52" spans="1:28" ht="12" customHeight="1">
      <c r="A52" s="129"/>
      <c r="B52" s="130"/>
      <c r="C52" s="130"/>
      <c r="D52" s="130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6" ht="12">
      <c r="AC56" s="21"/>
    </row>
    <row r="58" ht="12">
      <c r="AC58" s="21"/>
    </row>
    <row r="60" ht="12">
      <c r="AC60" s="21"/>
    </row>
  </sheetData>
  <sheetProtection/>
  <mergeCells count="4">
    <mergeCell ref="A3:A4"/>
    <mergeCell ref="B3:B4"/>
    <mergeCell ref="E3:J4"/>
    <mergeCell ref="Q3:Z4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L19" sqref="L19"/>
    </sheetView>
  </sheetViews>
  <sheetFormatPr defaultColWidth="9.50390625" defaultRowHeight="16.5" customHeight="1"/>
  <cols>
    <col min="1" max="1" width="9.50390625" style="14" customWidth="1"/>
    <col min="2" max="2" width="8.625" style="14" customWidth="1"/>
    <col min="3" max="3" width="4.125" style="14" customWidth="1"/>
    <col min="4" max="4" width="9.75390625" style="14" customWidth="1"/>
    <col min="5" max="5" width="4.125" style="14" customWidth="1"/>
    <col min="6" max="6" width="7.625" style="14" customWidth="1"/>
    <col min="7" max="7" width="6.00390625" style="14" customWidth="1"/>
    <col min="8" max="8" width="7.625" style="14" customWidth="1"/>
    <col min="9" max="9" width="4.125" style="14" customWidth="1"/>
    <col min="10" max="10" width="8.625" style="14" customWidth="1"/>
    <col min="11" max="11" width="6.00390625" style="14" customWidth="1"/>
    <col min="12" max="12" width="7.625" style="14" customWidth="1"/>
    <col min="13" max="13" width="4.125" style="14" customWidth="1"/>
    <col min="14" max="14" width="7.625" style="14" customWidth="1"/>
    <col min="15" max="15" width="4.125" style="14" customWidth="1"/>
    <col min="16" max="16" width="7.625" style="14" customWidth="1"/>
    <col min="17" max="17" width="4.125" style="14" customWidth="1"/>
    <col min="18" max="18" width="7.625" style="14" customWidth="1"/>
    <col min="19" max="19" width="4.125" style="14" customWidth="1"/>
    <col min="20" max="20" width="7.625" style="14" customWidth="1"/>
    <col min="21" max="21" width="4.125" style="14" customWidth="1"/>
    <col min="22" max="24" width="9.50390625" style="14" customWidth="1"/>
    <col min="25" max="25" width="5.875" style="14" customWidth="1"/>
    <col min="26" max="16384" width="9.50390625" style="14" customWidth="1"/>
  </cols>
  <sheetData>
    <row r="1" spans="1:18" ht="16.5" customHeight="1">
      <c r="A1" s="17" t="s">
        <v>130</v>
      </c>
      <c r="R1" s="21"/>
    </row>
    <row r="2" ht="16.5" customHeight="1">
      <c r="A2" s="12"/>
    </row>
    <row r="3" spans="1:19" ht="16.5" customHeight="1">
      <c r="A3" s="316" t="s">
        <v>131</v>
      </c>
      <c r="B3" s="181" t="s">
        <v>132</v>
      </c>
      <c r="C3" s="315" t="s">
        <v>10</v>
      </c>
      <c r="D3" s="183">
        <f>'土石流時1-2'!AB40</f>
        <v>11146.35</v>
      </c>
      <c r="E3" s="315" t="s">
        <v>10</v>
      </c>
      <c r="F3" s="315">
        <f>D3/D4</f>
        <v>5.81</v>
      </c>
      <c r="G3" s="314" t="s">
        <v>11</v>
      </c>
      <c r="H3" s="129"/>
      <c r="I3" s="129"/>
      <c r="J3" s="129"/>
      <c r="K3" s="129"/>
      <c r="S3" s="21"/>
    </row>
    <row r="4" spans="1:19" ht="16.5" customHeight="1">
      <c r="A4" s="316"/>
      <c r="B4" s="185" t="s">
        <v>133</v>
      </c>
      <c r="C4" s="315"/>
      <c r="D4" s="186">
        <f>'土石流時1-2'!M40</f>
        <v>1917.02</v>
      </c>
      <c r="E4" s="315"/>
      <c r="F4" s="315"/>
      <c r="G4" s="314"/>
      <c r="H4" s="129"/>
      <c r="I4" s="129"/>
      <c r="J4" s="129"/>
      <c r="K4" s="129"/>
      <c r="S4" s="21"/>
    </row>
    <row r="5" spans="1:26" ht="16.5" customHeight="1">
      <c r="A5" s="12"/>
      <c r="B5" s="129"/>
      <c r="C5" s="129"/>
      <c r="D5" s="129"/>
      <c r="E5" s="129"/>
      <c r="F5" s="129"/>
      <c r="G5" s="129"/>
      <c r="H5" s="129"/>
      <c r="I5" s="129"/>
      <c r="J5" s="129"/>
      <c r="K5" s="129"/>
      <c r="X5" s="21"/>
      <c r="Y5" s="20"/>
      <c r="Z5" s="20"/>
    </row>
    <row r="6" spans="1:25" ht="16.5" customHeight="1">
      <c r="A6" s="12"/>
      <c r="B6" s="184">
        <v>0</v>
      </c>
      <c r="C6" s="191" t="s">
        <v>134</v>
      </c>
      <c r="D6" s="201" t="s">
        <v>136</v>
      </c>
      <c r="E6" s="191" t="s">
        <v>134</v>
      </c>
      <c r="F6" s="190" t="s">
        <v>138</v>
      </c>
      <c r="G6" s="129"/>
      <c r="H6" s="129"/>
      <c r="I6" s="129"/>
      <c r="J6" s="129"/>
      <c r="K6" s="129"/>
      <c r="Y6" s="178"/>
    </row>
    <row r="7" spans="1:18" ht="16.5" customHeight="1">
      <c r="A7" s="12"/>
      <c r="B7" s="184"/>
      <c r="C7" s="191"/>
      <c r="D7" s="201"/>
      <c r="E7" s="191"/>
      <c r="F7" s="190"/>
      <c r="G7" s="129"/>
      <c r="H7" s="129"/>
      <c r="I7" s="182"/>
      <c r="J7" s="190"/>
      <c r="K7" s="182"/>
      <c r="L7" s="177"/>
      <c r="M7" s="174"/>
      <c r="O7" s="174"/>
      <c r="P7" s="175"/>
      <c r="Q7" s="73"/>
      <c r="R7" s="73"/>
    </row>
    <row r="8" spans="1:18" ht="16.5" customHeight="1">
      <c r="A8" s="12"/>
      <c r="B8" s="184">
        <v>0</v>
      </c>
      <c r="C8" s="191" t="str">
        <f>IF(B8&lt;=D8,"≦","＞")</f>
        <v>≦</v>
      </c>
      <c r="D8" s="182">
        <f>F3</f>
        <v>5.81</v>
      </c>
      <c r="E8" s="191" t="str">
        <f>IF(D8&lt;=F8,"≦","＞")</f>
        <v>≦</v>
      </c>
      <c r="F8" s="190">
        <f>'土石流時1-1'!F36</f>
        <v>9.05</v>
      </c>
      <c r="G8" s="184" t="str">
        <f>IF(AND(B8&lt;=D8,D8&lt;=F8),"OK","OUT")</f>
        <v>OK</v>
      </c>
      <c r="H8" s="184"/>
      <c r="I8" s="184"/>
      <c r="J8" s="129"/>
      <c r="K8" s="129"/>
      <c r="M8" s="174"/>
      <c r="O8" s="174"/>
      <c r="P8" s="175"/>
      <c r="Q8" s="73"/>
      <c r="R8" s="73"/>
    </row>
    <row r="9" spans="1:18" ht="16.5" customHeight="1">
      <c r="A9" s="12"/>
      <c r="C9" s="176"/>
      <c r="D9" s="176"/>
      <c r="E9" s="176"/>
      <c r="I9" s="174"/>
      <c r="J9" s="175"/>
      <c r="K9" s="174"/>
      <c r="L9" s="177"/>
      <c r="M9" s="174"/>
      <c r="O9" s="174"/>
      <c r="P9" s="175"/>
      <c r="Q9" s="73"/>
      <c r="R9" s="73"/>
    </row>
    <row r="10" spans="1:18" ht="16.5" customHeight="1">
      <c r="A10" s="12"/>
      <c r="C10" s="15" t="s">
        <v>139</v>
      </c>
      <c r="D10" s="17" t="s">
        <v>140</v>
      </c>
      <c r="O10" s="174"/>
      <c r="P10" s="175"/>
      <c r="Q10" s="73"/>
      <c r="R10" s="73"/>
    </row>
    <row r="11" spans="3:4" ht="16.5" customHeight="1">
      <c r="C11" s="15" t="s">
        <v>141</v>
      </c>
      <c r="D11" s="17" t="s">
        <v>79</v>
      </c>
    </row>
    <row r="12" spans="1:18" ht="16.5" customHeight="1">
      <c r="A12" s="12"/>
      <c r="C12" s="15" t="s">
        <v>142</v>
      </c>
      <c r="D12" s="17" t="s">
        <v>143</v>
      </c>
      <c r="O12" s="174"/>
      <c r="P12" s="175"/>
      <c r="Q12" s="73"/>
      <c r="R12" s="73"/>
    </row>
    <row r="13" spans="3:18" ht="16.5" customHeight="1">
      <c r="C13" s="15" t="s">
        <v>144</v>
      </c>
      <c r="D13" s="17" t="s">
        <v>145</v>
      </c>
      <c r="O13" s="174"/>
      <c r="P13" s="175"/>
      <c r="Q13" s="73"/>
      <c r="R13" s="73"/>
    </row>
    <row r="14" ht="16.5" customHeight="1">
      <c r="A14" s="12"/>
    </row>
    <row r="15" ht="16.5" customHeight="1">
      <c r="A15" s="179" t="s">
        <v>146</v>
      </c>
    </row>
    <row r="16" ht="16.5" customHeight="1">
      <c r="A16" s="12"/>
    </row>
    <row r="17" spans="2:10" ht="16.5" customHeight="1">
      <c r="B17" s="316" t="s">
        <v>316</v>
      </c>
      <c r="C17" s="317" t="s">
        <v>147</v>
      </c>
      <c r="D17" s="187" t="s">
        <v>148</v>
      </c>
      <c r="E17" s="187" t="s">
        <v>149</v>
      </c>
      <c r="F17" s="187" t="s">
        <v>150</v>
      </c>
      <c r="G17" s="187" t="s">
        <v>151</v>
      </c>
      <c r="H17" s="187" t="s">
        <v>152</v>
      </c>
      <c r="I17" s="187" t="s">
        <v>149</v>
      </c>
      <c r="J17" s="187" t="s">
        <v>153</v>
      </c>
    </row>
    <row r="18" spans="2:20" ht="16.5" customHeight="1">
      <c r="B18" s="316"/>
      <c r="C18" s="317"/>
      <c r="D18" s="318" t="s">
        <v>154</v>
      </c>
      <c r="E18" s="318"/>
      <c r="F18" s="318"/>
      <c r="G18" s="318"/>
      <c r="H18" s="318"/>
      <c r="I18" s="318"/>
      <c r="J18" s="318"/>
      <c r="S18" s="15"/>
      <c r="T18" s="21"/>
    </row>
    <row r="19" spans="1:10" ht="16.5" customHeight="1">
      <c r="A19" s="173"/>
      <c r="B19" s="20"/>
      <c r="C19" s="20"/>
      <c r="D19" s="192"/>
      <c r="E19" s="129"/>
      <c r="F19" s="129"/>
      <c r="G19" s="129"/>
      <c r="H19" s="129"/>
      <c r="I19" s="129"/>
      <c r="J19" s="129"/>
    </row>
    <row r="20" spans="1:10" ht="16.5" customHeight="1">
      <c r="A20" s="173"/>
      <c r="B20" s="316"/>
      <c r="C20" s="317" t="s">
        <v>147</v>
      </c>
      <c r="D20" s="189">
        <f>'土石流時1-1'!K49</f>
        <v>0.7</v>
      </c>
      <c r="E20" s="187" t="s">
        <v>155</v>
      </c>
      <c r="F20" s="189">
        <f>D4</f>
        <v>1917.02</v>
      </c>
      <c r="G20" s="187" t="s">
        <v>156</v>
      </c>
      <c r="H20" s="193">
        <f>'土石流時1-1'!K52</f>
        <v>330</v>
      </c>
      <c r="I20" s="187" t="s">
        <v>157</v>
      </c>
      <c r="J20" s="189">
        <f>H39</f>
        <v>9.05</v>
      </c>
    </row>
    <row r="21" spans="1:10" ht="16.5" customHeight="1">
      <c r="A21" s="173"/>
      <c r="B21" s="316"/>
      <c r="C21" s="317"/>
      <c r="D21" s="319">
        <f>'土石流時1-2'!N40</f>
        <v>876.29</v>
      </c>
      <c r="E21" s="319"/>
      <c r="F21" s="319"/>
      <c r="G21" s="319"/>
      <c r="H21" s="319"/>
      <c r="I21" s="319"/>
      <c r="J21" s="319"/>
    </row>
    <row r="22" spans="1:10" ht="16.5" customHeight="1">
      <c r="A22" s="173"/>
      <c r="B22" s="20"/>
      <c r="C22" s="20"/>
      <c r="D22" s="192"/>
      <c r="E22" s="129"/>
      <c r="F22" s="129"/>
      <c r="G22" s="129"/>
      <c r="H22" s="129"/>
      <c r="I22" s="129"/>
      <c r="J22" s="129"/>
    </row>
    <row r="23" spans="1:10" ht="16.5" customHeight="1">
      <c r="A23" s="173"/>
      <c r="B23" s="20"/>
      <c r="C23" s="14" t="s">
        <v>158</v>
      </c>
      <c r="D23" s="196">
        <f>ROUNDDOWN((D20*F20+H20*J20)/D21,2)</f>
        <v>4.93</v>
      </c>
      <c r="E23" s="192" t="str">
        <f>IF(D23&gt;=F23,"≧","＜")</f>
        <v>≧</v>
      </c>
      <c r="F23" s="194">
        <f>'土石流時1-1'!K41</f>
        <v>4</v>
      </c>
      <c r="G23" s="129"/>
      <c r="H23" s="129" t="str">
        <f>IF(D23&lt;F23,"OUT","OK")</f>
        <v>OK</v>
      </c>
      <c r="I23" s="129"/>
      <c r="J23" s="129"/>
    </row>
    <row r="24" spans="3:4" ht="16.5" customHeight="1">
      <c r="C24" s="73"/>
      <c r="D24" s="73"/>
    </row>
    <row r="25" spans="3:4" ht="16.5" customHeight="1">
      <c r="C25" s="18" t="s">
        <v>159</v>
      </c>
      <c r="D25" s="172" t="s">
        <v>160</v>
      </c>
    </row>
    <row r="26" spans="1:4" ht="16.5" customHeight="1">
      <c r="A26" s="176"/>
      <c r="B26" s="73"/>
      <c r="C26" s="18" t="s">
        <v>161</v>
      </c>
      <c r="D26" s="172" t="s">
        <v>8</v>
      </c>
    </row>
    <row r="27" spans="3:18" ht="16.5" customHeight="1">
      <c r="C27" s="15" t="s">
        <v>162</v>
      </c>
      <c r="D27" s="17" t="s">
        <v>145</v>
      </c>
      <c r="O27" s="174"/>
      <c r="P27" s="175"/>
      <c r="Q27" s="73"/>
      <c r="R27" s="73"/>
    </row>
    <row r="28" spans="3:18" ht="16.5" customHeight="1">
      <c r="C28" s="15" t="s">
        <v>163</v>
      </c>
      <c r="D28" s="17" t="s">
        <v>164</v>
      </c>
      <c r="O28" s="174"/>
      <c r="P28" s="175"/>
      <c r="Q28" s="73"/>
      <c r="R28" s="73"/>
    </row>
    <row r="29" spans="3:4" ht="16.5" customHeight="1">
      <c r="C29" s="18" t="s">
        <v>165</v>
      </c>
      <c r="D29" s="172" t="s">
        <v>166</v>
      </c>
    </row>
    <row r="30" spans="3:4" ht="16.5" customHeight="1">
      <c r="C30" s="18"/>
      <c r="D30" s="172" t="s">
        <v>167</v>
      </c>
    </row>
    <row r="31" spans="1:4" ht="16.5" customHeight="1">
      <c r="A31" s="12"/>
      <c r="C31" s="18" t="s">
        <v>168</v>
      </c>
      <c r="D31" s="172" t="s">
        <v>169</v>
      </c>
    </row>
    <row r="32" spans="1:5" ht="16.5" customHeight="1">
      <c r="A32" s="12"/>
      <c r="D32" s="18"/>
      <c r="E32" s="172"/>
    </row>
    <row r="33" spans="1:21" ht="16.5" customHeight="1">
      <c r="A33" s="12"/>
      <c r="D33" s="18"/>
      <c r="E33" s="172"/>
      <c r="U33" s="21"/>
    </row>
    <row r="34" spans="1:21" ht="16.5" customHeight="1">
      <c r="A34" s="12"/>
      <c r="D34" s="18"/>
      <c r="E34" s="172"/>
      <c r="U34" s="21"/>
    </row>
    <row r="35" spans="1:18" ht="16.5" customHeight="1">
      <c r="A35" s="12"/>
      <c r="D35" s="18"/>
      <c r="E35" s="172"/>
      <c r="O35" s="174"/>
      <c r="P35" s="175"/>
      <c r="Q35" s="73"/>
      <c r="R35" s="73"/>
    </row>
    <row r="36" spans="1:18" ht="16.5" customHeight="1">
      <c r="A36" s="12"/>
      <c r="D36" s="18"/>
      <c r="E36" s="172"/>
      <c r="O36" s="174"/>
      <c r="P36" s="175"/>
      <c r="Q36" s="73"/>
      <c r="R36" s="73"/>
    </row>
    <row r="37" ht="16.5" customHeight="1">
      <c r="A37" s="179" t="s">
        <v>123</v>
      </c>
    </row>
    <row r="38" spans="1:16" ht="16.5" customHeight="1">
      <c r="A38" s="179"/>
      <c r="P38" s="65"/>
    </row>
    <row r="39" spans="1:16" ht="16.5" customHeight="1">
      <c r="A39" s="316" t="s">
        <v>13</v>
      </c>
      <c r="B39" s="320" t="s">
        <v>170</v>
      </c>
      <c r="C39" s="314" t="s">
        <v>14</v>
      </c>
      <c r="D39" s="187" t="s">
        <v>171</v>
      </c>
      <c r="E39" s="315" t="s">
        <v>10</v>
      </c>
      <c r="F39" s="321">
        <f>F3</f>
        <v>5.81</v>
      </c>
      <c r="G39" s="314" t="s">
        <v>14</v>
      </c>
      <c r="H39" s="189">
        <f>F8</f>
        <v>9.05</v>
      </c>
      <c r="I39" s="315" t="s">
        <v>10</v>
      </c>
      <c r="J39" s="321">
        <f>F39-H39/H40</f>
        <v>1.29</v>
      </c>
      <c r="K39" s="314" t="s">
        <v>11</v>
      </c>
      <c r="P39" s="65"/>
    </row>
    <row r="40" spans="1:16" ht="16.5" customHeight="1">
      <c r="A40" s="316"/>
      <c r="B40" s="320"/>
      <c r="C40" s="314"/>
      <c r="D40" s="129">
        <v>2</v>
      </c>
      <c r="E40" s="315"/>
      <c r="F40" s="321"/>
      <c r="G40" s="314"/>
      <c r="H40" s="129">
        <v>2</v>
      </c>
      <c r="I40" s="315"/>
      <c r="J40" s="321"/>
      <c r="K40" s="314"/>
      <c r="P40" s="65"/>
    </row>
    <row r="41" spans="1:16" ht="16.5" customHeight="1">
      <c r="A41" s="12"/>
      <c r="I41" s="18"/>
      <c r="P41" s="65"/>
    </row>
    <row r="42" spans="1:16" ht="16.5" customHeight="1">
      <c r="A42" s="322" t="s">
        <v>172</v>
      </c>
      <c r="B42" s="181" t="s">
        <v>173</v>
      </c>
      <c r="C42" s="314" t="s">
        <v>16</v>
      </c>
      <c r="D42" s="314">
        <v>1</v>
      </c>
      <c r="E42" s="314" t="s">
        <v>174</v>
      </c>
      <c r="F42" s="187">
        <v>6</v>
      </c>
      <c r="G42" s="187" t="s">
        <v>18</v>
      </c>
      <c r="H42" s="187" t="s">
        <v>19</v>
      </c>
      <c r="I42" s="314" t="s">
        <v>20</v>
      </c>
      <c r="J42" s="129"/>
      <c r="P42" s="65"/>
    </row>
    <row r="43" spans="1:16" ht="16.5" customHeight="1">
      <c r="A43" s="322"/>
      <c r="B43" s="192" t="s">
        <v>171</v>
      </c>
      <c r="C43" s="314"/>
      <c r="D43" s="314"/>
      <c r="E43" s="314"/>
      <c r="F43" s="312" t="s">
        <v>171</v>
      </c>
      <c r="G43" s="312"/>
      <c r="H43" s="312"/>
      <c r="I43" s="314"/>
      <c r="J43" s="129"/>
      <c r="P43" s="65"/>
    </row>
    <row r="44" spans="1:10" ht="16.5" customHeight="1">
      <c r="A44" s="12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2" ht="16.5" customHeight="1">
      <c r="A45" s="313" t="s">
        <v>175</v>
      </c>
      <c r="B45" s="183">
        <f>B51</f>
        <v>1917.02</v>
      </c>
      <c r="C45" s="314" t="s">
        <v>16</v>
      </c>
      <c r="D45" s="314">
        <v>1</v>
      </c>
      <c r="E45" s="314" t="s">
        <v>174</v>
      </c>
      <c r="F45" s="187">
        <v>6</v>
      </c>
      <c r="G45" s="187" t="s">
        <v>18</v>
      </c>
      <c r="H45" s="189">
        <f>H51</f>
        <v>1.29</v>
      </c>
      <c r="I45" s="314" t="s">
        <v>21</v>
      </c>
      <c r="J45" s="321">
        <f>B45/B46*(D45-F45*H45/F46)</f>
        <v>30.66</v>
      </c>
      <c r="K45" s="323" t="s">
        <v>177</v>
      </c>
      <c r="L45" s="323"/>
    </row>
    <row r="46" spans="1:12" ht="16.5" customHeight="1">
      <c r="A46" s="313"/>
      <c r="B46" s="195">
        <f>H39</f>
        <v>9.05</v>
      </c>
      <c r="C46" s="314"/>
      <c r="D46" s="314"/>
      <c r="E46" s="314"/>
      <c r="F46" s="324">
        <f>B46</f>
        <v>9.05</v>
      </c>
      <c r="G46" s="324"/>
      <c r="H46" s="324"/>
      <c r="I46" s="314"/>
      <c r="J46" s="321"/>
      <c r="K46" s="323"/>
      <c r="L46" s="323"/>
    </row>
    <row r="47" spans="1:12" ht="16.5" customHeight="1">
      <c r="A47" s="18"/>
      <c r="B47" s="195"/>
      <c r="C47" s="184"/>
      <c r="D47" s="184"/>
      <c r="E47" s="184"/>
      <c r="F47" s="196"/>
      <c r="G47" s="196"/>
      <c r="H47" s="196"/>
      <c r="I47" s="184"/>
      <c r="J47" s="188"/>
      <c r="K47" s="73"/>
      <c r="L47" s="169"/>
    </row>
    <row r="48" spans="1:10" ht="16.5" customHeight="1">
      <c r="A48" s="322" t="s">
        <v>178</v>
      </c>
      <c r="B48" s="181" t="s">
        <v>173</v>
      </c>
      <c r="C48" s="314" t="s">
        <v>16</v>
      </c>
      <c r="D48" s="314">
        <v>1</v>
      </c>
      <c r="E48" s="314" t="s">
        <v>17</v>
      </c>
      <c r="F48" s="187">
        <v>6</v>
      </c>
      <c r="G48" s="187" t="s">
        <v>18</v>
      </c>
      <c r="H48" s="187" t="s">
        <v>19</v>
      </c>
      <c r="I48" s="314" t="s">
        <v>20</v>
      </c>
      <c r="J48" s="129"/>
    </row>
    <row r="49" spans="1:10" ht="16.5" customHeight="1">
      <c r="A49" s="322"/>
      <c r="B49" s="192" t="s">
        <v>171</v>
      </c>
      <c r="C49" s="314"/>
      <c r="D49" s="314"/>
      <c r="E49" s="314"/>
      <c r="F49" s="312" t="s">
        <v>171</v>
      </c>
      <c r="G49" s="312"/>
      <c r="H49" s="312"/>
      <c r="I49" s="314"/>
      <c r="J49" s="129"/>
    </row>
    <row r="50" spans="1:10" ht="16.5" customHeight="1">
      <c r="A50" s="12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2" ht="16.5" customHeight="1">
      <c r="A51" s="313" t="s">
        <v>175</v>
      </c>
      <c r="B51" s="183">
        <f>D4</f>
        <v>1917.02</v>
      </c>
      <c r="C51" s="314" t="s">
        <v>16</v>
      </c>
      <c r="D51" s="314">
        <v>1</v>
      </c>
      <c r="E51" s="314" t="s">
        <v>17</v>
      </c>
      <c r="F51" s="187">
        <v>6</v>
      </c>
      <c r="G51" s="187" t="s">
        <v>18</v>
      </c>
      <c r="H51" s="189">
        <f>J39</f>
        <v>1.29</v>
      </c>
      <c r="I51" s="314" t="s">
        <v>21</v>
      </c>
      <c r="J51" s="321">
        <f>B51/B52*(D51+F51*H51/F52)</f>
        <v>392.99</v>
      </c>
      <c r="K51" s="323" t="s">
        <v>177</v>
      </c>
      <c r="L51" s="323"/>
    </row>
    <row r="52" spans="1:12" ht="16.5" customHeight="1">
      <c r="A52" s="313"/>
      <c r="B52" s="197">
        <f>B46</f>
        <v>9.05</v>
      </c>
      <c r="C52" s="314"/>
      <c r="D52" s="314"/>
      <c r="E52" s="314"/>
      <c r="F52" s="324">
        <f>B52</f>
        <v>9.05</v>
      </c>
      <c r="G52" s="324"/>
      <c r="H52" s="324"/>
      <c r="I52" s="314"/>
      <c r="J52" s="321"/>
      <c r="K52" s="323"/>
      <c r="L52" s="323"/>
    </row>
    <row r="53" spans="1:12" ht="16.5" customHeight="1">
      <c r="A53" s="18"/>
      <c r="B53" s="171"/>
      <c r="C53" s="73"/>
      <c r="D53" s="73"/>
      <c r="E53" s="73"/>
      <c r="G53" s="65"/>
      <c r="H53" s="65"/>
      <c r="I53" s="73"/>
      <c r="J53" s="170"/>
      <c r="K53" s="73"/>
      <c r="L53" s="169"/>
    </row>
    <row r="54" spans="1:12" ht="16.5" customHeight="1">
      <c r="A54" s="18"/>
      <c r="C54" s="18" t="s">
        <v>180</v>
      </c>
      <c r="D54" s="172" t="s">
        <v>181</v>
      </c>
      <c r="G54" s="73"/>
      <c r="I54" s="73"/>
      <c r="J54" s="170"/>
      <c r="K54" s="73"/>
      <c r="L54" s="169"/>
    </row>
    <row r="55" spans="1:12" ht="16.5" customHeight="1">
      <c r="A55" s="18"/>
      <c r="B55" s="73"/>
      <c r="C55" s="18" t="s">
        <v>183</v>
      </c>
      <c r="D55" s="172" t="s">
        <v>184</v>
      </c>
      <c r="G55" s="73"/>
      <c r="I55" s="73"/>
      <c r="J55" s="170"/>
      <c r="K55" s="73"/>
      <c r="L55" s="169"/>
    </row>
    <row r="56" spans="1:12" ht="16.5" customHeight="1">
      <c r="A56" s="18"/>
      <c r="C56" s="18" t="s">
        <v>15</v>
      </c>
      <c r="D56" s="16" t="s">
        <v>185</v>
      </c>
      <c r="I56" s="73"/>
      <c r="J56" s="170"/>
      <c r="K56" s="73"/>
      <c r="L56" s="169"/>
    </row>
    <row r="57" spans="1:12" ht="16.5" customHeight="1">
      <c r="A57" s="18"/>
      <c r="B57" s="171"/>
      <c r="C57" s="73"/>
      <c r="D57" s="73"/>
      <c r="E57" s="73"/>
      <c r="G57" s="65"/>
      <c r="H57" s="65"/>
      <c r="I57" s="73"/>
      <c r="J57" s="170"/>
      <c r="K57" s="73"/>
      <c r="L57" s="169"/>
    </row>
    <row r="58" spans="1:12" ht="16.5" customHeight="1">
      <c r="A58" s="18"/>
      <c r="B58" s="253" t="s">
        <v>187</v>
      </c>
      <c r="C58" s="14" t="s">
        <v>188</v>
      </c>
      <c r="D58" s="65">
        <f>J51</f>
        <v>392.99</v>
      </c>
      <c r="E58" s="192" t="str">
        <f>IF(D58&gt;=G58,"＞","≦")</f>
        <v>≦</v>
      </c>
      <c r="F58" s="180" t="s">
        <v>189</v>
      </c>
      <c r="G58" s="198">
        <f>'土石流時1-1'!K40</f>
        <v>1177</v>
      </c>
      <c r="H58" s="129" t="s">
        <v>177</v>
      </c>
      <c r="I58" s="129" t="str">
        <f>IF(G58&lt;D58,"OUT","OK")</f>
        <v>OK</v>
      </c>
      <c r="J58" s="16" t="s">
        <v>190</v>
      </c>
      <c r="K58" s="73"/>
      <c r="L58" s="169"/>
    </row>
    <row r="59" spans="1:12" ht="16.5" customHeight="1">
      <c r="A59" s="18"/>
      <c r="B59" s="171"/>
      <c r="G59" s="65"/>
      <c r="H59" s="65"/>
      <c r="I59" s="73"/>
      <c r="J59" s="203"/>
      <c r="K59" s="73"/>
      <c r="L59" s="169"/>
    </row>
    <row r="60" spans="1:12" ht="16.5" customHeight="1">
      <c r="A60" s="18"/>
      <c r="B60" s="253" t="s">
        <v>187</v>
      </c>
      <c r="C60" s="14" t="s">
        <v>188</v>
      </c>
      <c r="D60" s="65">
        <f>J51</f>
        <v>392.99</v>
      </c>
      <c r="E60" s="192" t="str">
        <f>IF(D60&gt;=G60,"＞","≦")</f>
        <v>≦</v>
      </c>
      <c r="F60" s="180" t="s">
        <v>191</v>
      </c>
      <c r="G60" s="198">
        <f>'土石流時1-1'!K53</f>
        <v>4500</v>
      </c>
      <c r="H60" s="129" t="s">
        <v>177</v>
      </c>
      <c r="I60" s="129" t="str">
        <f>IF(G60&lt;D60,"OUT","OK")</f>
        <v>OK</v>
      </c>
      <c r="J60" s="203" t="s">
        <v>192</v>
      </c>
      <c r="K60" s="73"/>
      <c r="L60" s="169"/>
    </row>
    <row r="61" spans="1:12" ht="16.5" customHeight="1">
      <c r="A61" s="18"/>
      <c r="B61" s="171"/>
      <c r="G61" s="65"/>
      <c r="H61" s="65"/>
      <c r="I61" s="73"/>
      <c r="J61" s="203"/>
      <c r="K61" s="73"/>
      <c r="L61" s="169"/>
    </row>
    <row r="62" spans="1:12" ht="16.5" customHeight="1">
      <c r="A62" s="18"/>
      <c r="B62" s="253" t="s">
        <v>194</v>
      </c>
      <c r="C62" s="14" t="s">
        <v>188</v>
      </c>
      <c r="D62" s="65">
        <f>J45</f>
        <v>30.66</v>
      </c>
      <c r="E62" s="192" t="str">
        <f>IF(D62&lt;=G62,"＜","≧")</f>
        <v>≧</v>
      </c>
      <c r="F62" s="180"/>
      <c r="G62" s="198">
        <v>0</v>
      </c>
      <c r="H62" s="129" t="s">
        <v>195</v>
      </c>
      <c r="I62" s="129" t="str">
        <f>IF(G62&lt;D62,"OK","OUT")</f>
        <v>OK</v>
      </c>
      <c r="J62" s="203" t="s">
        <v>192</v>
      </c>
      <c r="K62" s="73"/>
      <c r="L62" s="169"/>
    </row>
  </sheetData>
  <sheetProtection/>
  <mergeCells count="48">
    <mergeCell ref="K51:L52"/>
    <mergeCell ref="F52:H52"/>
    <mergeCell ref="A51:A52"/>
    <mergeCell ref="C51:C52"/>
    <mergeCell ref="D51:D52"/>
    <mergeCell ref="E51:E52"/>
    <mergeCell ref="I51:I52"/>
    <mergeCell ref="J51:J52"/>
    <mergeCell ref="K45:L46"/>
    <mergeCell ref="F46:H46"/>
    <mergeCell ref="A48:A49"/>
    <mergeCell ref="C48:C49"/>
    <mergeCell ref="D48:D49"/>
    <mergeCell ref="E48:E49"/>
    <mergeCell ref="I48:I49"/>
    <mergeCell ref="F49:H49"/>
    <mergeCell ref="A45:A46"/>
    <mergeCell ref="C45:C46"/>
    <mergeCell ref="D45:D46"/>
    <mergeCell ref="E45:E46"/>
    <mergeCell ref="I45:I46"/>
    <mergeCell ref="J45:J46"/>
    <mergeCell ref="K39:K40"/>
    <mergeCell ref="A42:A43"/>
    <mergeCell ref="C42:C43"/>
    <mergeCell ref="D42:D43"/>
    <mergeCell ref="E42:E43"/>
    <mergeCell ref="I42:I43"/>
    <mergeCell ref="F43:H43"/>
    <mergeCell ref="B17:B18"/>
    <mergeCell ref="C17:C18"/>
    <mergeCell ref="D18:J18"/>
    <mergeCell ref="B20:B21"/>
    <mergeCell ref="C20:C21"/>
    <mergeCell ref="D21:J21"/>
    <mergeCell ref="E39:E40"/>
    <mergeCell ref="F39:F40"/>
    <mergeCell ref="I39:I40"/>
    <mergeCell ref="J39:J40"/>
    <mergeCell ref="E3:E4"/>
    <mergeCell ref="A3:A4"/>
    <mergeCell ref="C3:C4"/>
    <mergeCell ref="F3:F4"/>
    <mergeCell ref="G3:G4"/>
    <mergeCell ref="G39:G40"/>
    <mergeCell ref="A39:A40"/>
    <mergeCell ref="B39:B40"/>
    <mergeCell ref="C39:C40"/>
  </mergeCells>
  <printOptions/>
  <pageMargins left="1.1811023622047245" right="0.1968503937007874" top="1.1811023622047245" bottom="0.3937007874015748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C1" sqref="AC1"/>
    </sheetView>
  </sheetViews>
  <sheetFormatPr defaultColWidth="8.875" defaultRowHeight="13.5"/>
  <cols>
    <col min="1" max="1" width="4.25390625" style="14" customWidth="1"/>
    <col min="2" max="2" width="6.00390625" style="14" customWidth="1"/>
    <col min="3" max="3" width="1.4921875" style="14" customWidth="1"/>
    <col min="4" max="4" width="8.875" style="14" customWidth="1"/>
    <col min="5" max="5" width="1.4921875" style="14" customWidth="1"/>
    <col min="6" max="6" width="6.875" style="14" customWidth="1"/>
    <col min="7" max="7" width="1.4921875" style="14" customWidth="1"/>
    <col min="8" max="8" width="7.75390625" style="14" customWidth="1"/>
    <col min="9" max="9" width="3.75390625" style="14" customWidth="1"/>
    <col min="10" max="11" width="6.875" style="14" customWidth="1"/>
    <col min="12" max="14" width="4.25390625" style="14" customWidth="1"/>
    <col min="15" max="15" width="2.50390625" style="14" customWidth="1"/>
    <col min="16" max="18" width="4.25390625" style="14" customWidth="1"/>
    <col min="19" max="19" width="1.4921875" style="14" customWidth="1"/>
    <col min="20" max="20" width="6.00390625" style="14" customWidth="1"/>
    <col min="21" max="21" width="1.4921875" style="14" customWidth="1"/>
    <col min="22" max="22" width="1.625" style="14" customWidth="1"/>
    <col min="23" max="16384" width="8.875" style="14" customWidth="1"/>
  </cols>
  <sheetData>
    <row r="1" spans="1:11" ht="18" customHeight="1">
      <c r="A1" s="219" t="s">
        <v>78</v>
      </c>
      <c r="B1" s="220" t="str">
        <f>"安定計算（非越流部 土石流の水深と袖部の高さが一致する断面）　上流勾配 1:"&amp;FIXED(I24,2)</f>
        <v>安定計算（非越流部 土石流の水深と袖部の高さが一致する断面）　上流勾配 1:0.35</v>
      </c>
      <c r="C1" s="221"/>
      <c r="D1" s="221"/>
      <c r="E1" s="222"/>
      <c r="F1" s="222"/>
      <c r="G1" s="222"/>
      <c r="H1" s="222"/>
      <c r="I1" s="222"/>
      <c r="J1" s="222"/>
      <c r="K1" s="222"/>
    </row>
    <row r="2" ht="12" customHeight="1"/>
    <row r="3" ht="18" customHeight="1">
      <c r="B3" s="14" t="s">
        <v>7</v>
      </c>
    </row>
    <row r="4" spans="1:24" s="223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23" customFormat="1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223" customFormat="1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223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40"/>
      <c r="L7" s="40"/>
      <c r="M7" s="40" t="s">
        <v>221</v>
      </c>
      <c r="N7" s="166" t="s">
        <v>222</v>
      </c>
      <c r="O7" s="40"/>
      <c r="P7" s="40"/>
      <c r="Q7" s="40"/>
      <c r="R7" s="40"/>
      <c r="S7" s="40"/>
      <c r="T7" s="40"/>
      <c r="U7" s="40"/>
      <c r="V7" s="14"/>
      <c r="W7" s="14"/>
      <c r="X7" s="14"/>
    </row>
    <row r="8" spans="1:24" s="223" customFormat="1" ht="12" customHeight="1">
      <c r="A8" s="14"/>
      <c r="B8" s="16" t="s">
        <v>223</v>
      </c>
      <c r="C8" s="14"/>
      <c r="D8" s="14"/>
      <c r="E8" s="14"/>
      <c r="F8" s="14"/>
      <c r="G8" s="14"/>
      <c r="H8" s="14" t="s">
        <v>224</v>
      </c>
      <c r="I8" s="14"/>
      <c r="J8" s="14"/>
      <c r="K8" s="14"/>
      <c r="L8" s="14"/>
      <c r="M8" s="167" t="s">
        <v>225</v>
      </c>
      <c r="N8" s="14"/>
      <c r="O8" s="155"/>
      <c r="P8" s="14"/>
      <c r="Q8" s="14"/>
      <c r="R8" s="14"/>
      <c r="S8" s="14"/>
      <c r="T8" s="14"/>
      <c r="U8" s="14"/>
      <c r="V8" s="14"/>
      <c r="W8" s="14"/>
      <c r="X8" s="14"/>
    </row>
    <row r="9" spans="1:24" s="223" customFormat="1" ht="12" customHeight="1">
      <c r="A9" s="14"/>
      <c r="B9" s="168">
        <f>T11</f>
        <v>0.6</v>
      </c>
      <c r="C9" s="14"/>
      <c r="D9" s="14"/>
      <c r="E9" s="14"/>
      <c r="F9" s="14"/>
      <c r="G9" s="14"/>
      <c r="H9" s="14"/>
      <c r="I9" s="284" t="s">
        <v>226</v>
      </c>
      <c r="J9" s="28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223" customFormat="1" ht="12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6" t="s">
        <v>227</v>
      </c>
      <c r="U10" s="14"/>
      <c r="V10" s="14"/>
      <c r="W10" s="14"/>
      <c r="X10" s="14"/>
    </row>
    <row r="11" spans="1:24" s="223" customFormat="1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68">
        <f>'土石流時1-1'!T8</f>
        <v>0.6</v>
      </c>
      <c r="U11" s="14"/>
      <c r="V11" s="14"/>
      <c r="W11" s="14"/>
      <c r="X11" s="14"/>
    </row>
    <row r="12" spans="1:24" s="223" customFormat="1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223" customFormat="1" ht="1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223" customFormat="1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223" customFormat="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223" customFormat="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223" customFormat="1" ht="12">
      <c r="A17" s="14"/>
      <c r="B17" s="14"/>
      <c r="C17" s="14"/>
      <c r="D17" s="14"/>
      <c r="E17" s="14"/>
      <c r="F17" s="14"/>
      <c r="G17" s="14"/>
      <c r="H17" s="14"/>
      <c r="I17" s="14"/>
      <c r="J17" s="14" t="s">
        <v>228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223" customFormat="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223" customFormat="1" ht="12">
      <c r="A19" s="14"/>
      <c r="B19" s="14"/>
      <c r="C19" s="14"/>
      <c r="D19" s="14"/>
      <c r="E19" s="14"/>
      <c r="F19" s="14"/>
      <c r="G19" s="14"/>
      <c r="H19" s="14" t="s">
        <v>229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223" customFormat="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223" customFormat="1" ht="12">
      <c r="A21" s="14"/>
      <c r="B21" s="16" t="s">
        <v>230</v>
      </c>
      <c r="C21" s="14"/>
      <c r="D21" s="14"/>
      <c r="E21" s="325">
        <f>'洪水1-1'!F15</f>
        <v>0.2</v>
      </c>
      <c r="F21" s="325" t="e">
        <v>#REF!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223" customFormat="1" ht="12">
      <c r="A22" s="14"/>
      <c r="B22" s="168">
        <f>'洪水1-1'!B19</f>
        <v>11</v>
      </c>
      <c r="C22" s="14"/>
      <c r="D22" s="14"/>
      <c r="E22" s="14"/>
      <c r="F22" s="14"/>
      <c r="G22" s="14"/>
      <c r="H22" s="14"/>
      <c r="I22" s="14"/>
      <c r="J22" s="18" t="s">
        <v>231</v>
      </c>
      <c r="K22" s="14"/>
      <c r="L22" s="14"/>
      <c r="M22" s="18" t="s">
        <v>232</v>
      </c>
      <c r="N22" s="14"/>
      <c r="O22" s="14"/>
      <c r="P22" s="14"/>
      <c r="Q22" s="14" t="s">
        <v>233</v>
      </c>
      <c r="R22" s="14"/>
      <c r="S22" s="14"/>
      <c r="T22" s="16" t="s">
        <v>234</v>
      </c>
      <c r="U22" s="14"/>
      <c r="V22" s="14"/>
      <c r="W22" s="14"/>
      <c r="X22" s="14"/>
    </row>
    <row r="23" spans="1:24" s="223" customFormat="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68">
        <f>B22</f>
        <v>11</v>
      </c>
      <c r="U23" s="14"/>
      <c r="V23" s="14"/>
      <c r="W23" s="14"/>
      <c r="X23" s="14"/>
    </row>
    <row r="24" spans="1:24" s="223" customFormat="1" ht="12">
      <c r="A24" s="14"/>
      <c r="B24" s="14"/>
      <c r="C24" s="14"/>
      <c r="D24" s="14"/>
      <c r="E24" s="14"/>
      <c r="F24" s="14"/>
      <c r="G24" s="14"/>
      <c r="H24" s="14"/>
      <c r="I24" s="325">
        <f>'洪水1-1'!I16</f>
        <v>0.35</v>
      </c>
      <c r="J24" s="325" t="e">
        <v>#REF!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223" customFormat="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223" customFormat="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223" customFormat="1" ht="12">
      <c r="A27" s="14"/>
      <c r="B27" s="14"/>
      <c r="C27" s="14"/>
      <c r="D27" s="14"/>
      <c r="E27" s="14"/>
      <c r="F27" s="14" t="s">
        <v>235</v>
      </c>
      <c r="G27" s="14"/>
      <c r="H27" s="14"/>
      <c r="I27" s="14"/>
      <c r="J27" s="14" t="s">
        <v>236</v>
      </c>
      <c r="K27" s="14"/>
      <c r="L27" s="14" t="s">
        <v>237</v>
      </c>
      <c r="M27" s="14"/>
      <c r="N27" s="14"/>
      <c r="O27" s="14"/>
      <c r="P27" s="14" t="s">
        <v>238</v>
      </c>
      <c r="Q27" s="14"/>
      <c r="R27" s="14"/>
      <c r="S27" s="14"/>
      <c r="T27" s="14"/>
      <c r="U27" s="14"/>
      <c r="V27" s="14"/>
      <c r="W27" s="14"/>
      <c r="X27" s="14"/>
    </row>
    <row r="28" spans="1:24" s="223" customFormat="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223" customFormat="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284"/>
      <c r="L29" s="284"/>
      <c r="M29" s="14"/>
      <c r="N29" s="14"/>
      <c r="O29" s="284"/>
      <c r="P29" s="284"/>
      <c r="Q29" s="14"/>
      <c r="R29" s="14"/>
      <c r="S29" s="14"/>
      <c r="T29" s="14"/>
      <c r="U29" s="14"/>
      <c r="V29" s="14"/>
      <c r="W29" s="14"/>
      <c r="X29" s="14"/>
    </row>
    <row r="30" spans="1:24" s="223" customFormat="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223" customFormat="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223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223" customFormat="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223" customFormat="1" ht="12">
      <c r="A34" s="14"/>
      <c r="B34" s="14"/>
      <c r="C34" s="14"/>
      <c r="D34" s="14"/>
      <c r="E34" s="14"/>
      <c r="F34" s="16" t="s">
        <v>239</v>
      </c>
      <c r="G34" s="16"/>
      <c r="H34" s="16" t="s">
        <v>240</v>
      </c>
      <c r="I34" s="326" t="s">
        <v>241</v>
      </c>
      <c r="J34" s="3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223" customFormat="1" ht="12">
      <c r="A35" s="14"/>
      <c r="B35" s="14"/>
      <c r="C35" s="14"/>
      <c r="D35" s="14"/>
      <c r="E35" s="14"/>
      <c r="F35" s="285">
        <f>B22*E21</f>
        <v>2.2</v>
      </c>
      <c r="G35" s="285"/>
      <c r="H35" s="65">
        <f>'洪水1-1'!H33</f>
        <v>3</v>
      </c>
      <c r="I35" s="285">
        <f>B22*I24</f>
        <v>3.85</v>
      </c>
      <c r="J35" s="28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223" customFormat="1" ht="4.5" customHeight="1">
      <c r="A36" s="14"/>
      <c r="B36" s="14"/>
      <c r="C36" s="14"/>
      <c r="D36" s="14"/>
      <c r="E36" s="14"/>
      <c r="F36" s="65"/>
      <c r="G36" s="65"/>
      <c r="H36" s="65"/>
      <c r="I36" s="65"/>
      <c r="J36" s="6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223" customFormat="1" ht="4.5" customHeight="1">
      <c r="A37" s="14"/>
      <c r="B37" s="14"/>
      <c r="C37" s="14"/>
      <c r="D37" s="14"/>
      <c r="E37" s="14"/>
      <c r="F37" s="65"/>
      <c r="G37" s="65"/>
      <c r="H37" s="65"/>
      <c r="I37" s="65"/>
      <c r="J37" s="6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223" customFormat="1" ht="12">
      <c r="A38" s="14"/>
      <c r="B38" s="14"/>
      <c r="C38" s="14"/>
      <c r="D38" s="14"/>
      <c r="E38" s="14"/>
      <c r="F38" s="65"/>
      <c r="G38" s="65"/>
      <c r="H38" s="159" t="s">
        <v>242</v>
      </c>
      <c r="I38" s="159"/>
      <c r="J38" s="6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223" customFormat="1" ht="12">
      <c r="A39" s="14"/>
      <c r="B39" s="14"/>
      <c r="C39" s="14"/>
      <c r="D39" s="14"/>
      <c r="E39" s="14"/>
      <c r="F39" s="285">
        <f>F35+H35+I35</f>
        <v>9.05</v>
      </c>
      <c r="G39" s="285"/>
      <c r="H39" s="285"/>
      <c r="I39" s="285"/>
      <c r="J39" s="28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223" customFormat="1" ht="4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2" spans="4:11" ht="13.5" customHeight="1">
      <c r="D42" s="16" t="s">
        <v>51</v>
      </c>
      <c r="K42" s="16" t="str">
        <f>'土石流時1-1'!K39</f>
        <v>軟岩(Ⅰ)</v>
      </c>
    </row>
    <row r="43" spans="3:12" ht="13.5" customHeight="1">
      <c r="C43" s="17" t="s">
        <v>199</v>
      </c>
      <c r="K43" s="224">
        <f>'土石流時1-1'!K40</f>
        <v>1177</v>
      </c>
      <c r="L43" s="16" t="s">
        <v>243</v>
      </c>
    </row>
    <row r="44" spans="3:11" ht="13.5" customHeight="1">
      <c r="C44" s="16" t="s">
        <v>201</v>
      </c>
      <c r="K44" s="60">
        <f>'土石流時1-1'!K41</f>
        <v>4</v>
      </c>
    </row>
    <row r="45" spans="3:12" ht="13.5" customHeight="1">
      <c r="C45" s="16" t="s">
        <v>200</v>
      </c>
      <c r="F45" s="16"/>
      <c r="G45" s="16"/>
      <c r="H45" s="16"/>
      <c r="K45" s="65">
        <f>'土石流時1-1'!K42</f>
        <v>4</v>
      </c>
      <c r="L45" s="16" t="s">
        <v>244</v>
      </c>
    </row>
    <row r="46" spans="3:12" ht="13.5" customHeight="1">
      <c r="C46" s="17" t="s">
        <v>202</v>
      </c>
      <c r="F46" s="16"/>
      <c r="G46" s="16"/>
      <c r="H46" s="16"/>
      <c r="K46" s="65">
        <f>'土石流時1-1'!K43</f>
        <v>22.56</v>
      </c>
      <c r="L46" s="16" t="s">
        <v>245</v>
      </c>
    </row>
    <row r="47" spans="3:12" ht="13.5" customHeight="1">
      <c r="C47" s="17" t="s">
        <v>203</v>
      </c>
      <c r="F47" s="16"/>
      <c r="G47" s="16"/>
      <c r="H47" s="16"/>
      <c r="K47" s="65">
        <f>'土石流時1-1'!K44</f>
        <v>11.77</v>
      </c>
      <c r="L47" s="16" t="s">
        <v>246</v>
      </c>
    </row>
    <row r="48" spans="3:12" ht="13.5" customHeight="1">
      <c r="C48" s="16" t="s">
        <v>207</v>
      </c>
      <c r="D48" s="217"/>
      <c r="F48" s="16"/>
      <c r="G48" s="16"/>
      <c r="H48" s="16"/>
      <c r="K48" s="65">
        <f>'土石流時1-1'!K45</f>
        <v>8.24</v>
      </c>
      <c r="L48" s="16" t="s">
        <v>246</v>
      </c>
    </row>
    <row r="49" spans="3:12" ht="13.5" customHeight="1">
      <c r="C49" s="16" t="s">
        <v>88</v>
      </c>
      <c r="F49" s="18"/>
      <c r="H49" s="63"/>
      <c r="K49" s="65">
        <f>'土石流時1-1'!K46</f>
        <v>19.18</v>
      </c>
      <c r="L49" s="16" t="s">
        <v>246</v>
      </c>
    </row>
    <row r="50" spans="3:14" ht="13.5" customHeight="1">
      <c r="C50" s="16" t="s">
        <v>208</v>
      </c>
      <c r="D50" s="217"/>
      <c r="F50" s="16"/>
      <c r="G50" s="16"/>
      <c r="H50" s="16"/>
      <c r="K50" s="65">
        <f>'土石流時1-1'!K47</f>
        <v>7.41</v>
      </c>
      <c r="L50" s="16" t="s">
        <v>86</v>
      </c>
      <c r="N50" s="16" t="s">
        <v>209</v>
      </c>
    </row>
    <row r="51" spans="3:15" ht="13.5" customHeight="1">
      <c r="C51" s="17" t="s">
        <v>117</v>
      </c>
      <c r="F51" s="16"/>
      <c r="G51" s="16"/>
      <c r="H51" s="16"/>
      <c r="K51" s="169">
        <f>'土石流時1-1'!K48</f>
        <v>0.3</v>
      </c>
      <c r="L51" s="16"/>
      <c r="O51" s="61"/>
    </row>
    <row r="52" spans="3:15" ht="13.5" customHeight="1">
      <c r="C52" s="16" t="s">
        <v>118</v>
      </c>
      <c r="K52" s="65">
        <f>'土石流時1-1'!K49</f>
        <v>0.7</v>
      </c>
      <c r="O52" s="61"/>
    </row>
    <row r="53" spans="3:15" ht="13.5" customHeight="1">
      <c r="C53" s="16" t="s">
        <v>119</v>
      </c>
      <c r="F53" s="16"/>
      <c r="G53" s="16"/>
      <c r="H53" s="16"/>
      <c r="K53" s="65">
        <f>'土石流時1-1'!K50</f>
        <v>9.81</v>
      </c>
      <c r="L53" s="16" t="s">
        <v>247</v>
      </c>
      <c r="O53" s="61"/>
    </row>
    <row r="54" spans="3:15" ht="13.5" customHeight="1">
      <c r="C54" s="16" t="s">
        <v>204</v>
      </c>
      <c r="K54" s="66">
        <f>'土石流時1-1'!K51</f>
        <v>588</v>
      </c>
      <c r="L54" s="16" t="s">
        <v>176</v>
      </c>
      <c r="O54" s="61"/>
    </row>
    <row r="55" spans="3:15" ht="13.5" customHeight="1">
      <c r="C55" s="16" t="s">
        <v>205</v>
      </c>
      <c r="K55" s="66">
        <f>'土石流時1-1'!K52</f>
        <v>330</v>
      </c>
      <c r="L55" s="16" t="s">
        <v>176</v>
      </c>
      <c r="O55" s="61"/>
    </row>
    <row r="56" spans="3:15" ht="13.5" customHeight="1">
      <c r="C56" s="16" t="s">
        <v>206</v>
      </c>
      <c r="K56" s="66">
        <f>'土石流時1-1'!K53</f>
        <v>4500</v>
      </c>
      <c r="L56" s="16" t="s">
        <v>176</v>
      </c>
      <c r="O56" s="61"/>
    </row>
    <row r="57" ht="13.5" customHeight="1">
      <c r="O57" s="61"/>
    </row>
    <row r="58" spans="1:15" s="1" customFormat="1" ht="15" customHeight="1" thickBot="1">
      <c r="A58" s="14"/>
      <c r="B58" s="286" t="s">
        <v>9</v>
      </c>
      <c r="C58" s="286"/>
      <c r="D58" s="286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9" s="1" customFormat="1" ht="15" customHeight="1">
      <c r="A59" s="14"/>
      <c r="B59" s="287" t="s">
        <v>85</v>
      </c>
      <c r="C59" s="288"/>
      <c r="D59" s="288"/>
      <c r="E59" s="288"/>
      <c r="F59" s="289" t="s">
        <v>334</v>
      </c>
      <c r="G59" s="290"/>
      <c r="H59" s="290"/>
      <c r="I59" s="290"/>
      <c r="J59" s="204">
        <f>'土石流時2-3'!B8</f>
        <v>0</v>
      </c>
      <c r="K59" s="67" t="str">
        <f>'土石流時2-3'!C8</f>
        <v>≦</v>
      </c>
      <c r="L59" s="327">
        <f>'土石流時2-3'!D8</f>
        <v>5.99</v>
      </c>
      <c r="M59" s="327"/>
      <c r="N59" s="67" t="str">
        <f>'土石流時2-3'!E8</f>
        <v>≦</v>
      </c>
      <c r="O59" s="327">
        <f>'土石流時2-3'!F8</f>
        <v>9.05</v>
      </c>
      <c r="P59" s="327"/>
      <c r="Q59" s="162" t="str">
        <f>'土石流時2-3'!G8</f>
        <v>OK</v>
      </c>
      <c r="R59" s="14"/>
      <c r="S59" s="14"/>
    </row>
    <row r="60" spans="1:19" s="1" customFormat="1" ht="15" customHeight="1">
      <c r="A60" s="14"/>
      <c r="B60" s="304" t="s">
        <v>248</v>
      </c>
      <c r="C60" s="305"/>
      <c r="D60" s="305"/>
      <c r="E60" s="305"/>
      <c r="F60" s="300" t="s">
        <v>249</v>
      </c>
      <c r="G60" s="301"/>
      <c r="H60" s="301"/>
      <c r="I60" s="301"/>
      <c r="J60" s="205">
        <f>'土石流時2-3'!D23</f>
        <v>4.51</v>
      </c>
      <c r="K60" s="69" t="str">
        <f>'土石流時2-3'!E23</f>
        <v>≧</v>
      </c>
      <c r="L60" s="331">
        <f>'土石流時2-3'!F23</f>
        <v>4</v>
      </c>
      <c r="M60" s="331"/>
      <c r="N60" s="69" t="str">
        <f>'土石流時2-3'!H23</f>
        <v>OK</v>
      </c>
      <c r="O60" s="69"/>
      <c r="P60" s="69"/>
      <c r="Q60" s="164"/>
      <c r="R60" s="14"/>
      <c r="S60" s="14"/>
    </row>
    <row r="61" spans="1:19" s="1" customFormat="1" ht="15" customHeight="1">
      <c r="A61" s="14"/>
      <c r="B61" s="278" t="s">
        <v>124</v>
      </c>
      <c r="C61" s="291"/>
      <c r="D61" s="291"/>
      <c r="E61" s="292"/>
      <c r="F61" s="302" t="s">
        <v>81</v>
      </c>
      <c r="G61" s="303"/>
      <c r="H61" s="303"/>
      <c r="I61" s="303"/>
      <c r="J61" s="207">
        <f>'土石流時2-3'!D68</f>
        <v>437.2</v>
      </c>
      <c r="K61" s="46" t="str">
        <f>'土石流時2-3'!E68</f>
        <v>≦</v>
      </c>
      <c r="L61" s="328">
        <f>'土石流時2-3'!G68</f>
        <v>1177</v>
      </c>
      <c r="M61" s="328"/>
      <c r="N61" s="46" t="str">
        <f>'土石流時2-3'!I68</f>
        <v>OK</v>
      </c>
      <c r="O61" s="46"/>
      <c r="P61" s="46"/>
      <c r="Q61" s="208"/>
      <c r="R61" s="14"/>
      <c r="S61" s="14"/>
    </row>
    <row r="62" spans="1:19" s="1" customFormat="1" ht="15" customHeight="1">
      <c r="A62" s="14"/>
      <c r="B62" s="278"/>
      <c r="C62" s="291"/>
      <c r="D62" s="291"/>
      <c r="E62" s="292"/>
      <c r="F62" s="296" t="s">
        <v>80</v>
      </c>
      <c r="G62" s="297"/>
      <c r="H62" s="297"/>
      <c r="I62" s="297"/>
      <c r="J62" s="205">
        <f>'土石流時2-3'!D70</f>
        <v>437.2</v>
      </c>
      <c r="K62" s="163" t="str">
        <f>'土石流時2-3'!E70</f>
        <v>≦</v>
      </c>
      <c r="L62" s="330">
        <f>'土石流時2-3'!G70</f>
        <v>4500</v>
      </c>
      <c r="M62" s="330"/>
      <c r="N62" s="163" t="str">
        <f>'土石流時2-3'!I70</f>
        <v>OK</v>
      </c>
      <c r="O62" s="163"/>
      <c r="P62" s="163"/>
      <c r="Q62" s="164"/>
      <c r="R62" s="14"/>
      <c r="S62" s="14"/>
    </row>
    <row r="63" spans="1:19" s="1" customFormat="1" ht="15" customHeight="1" thickBot="1">
      <c r="A63" s="14"/>
      <c r="B63" s="293"/>
      <c r="C63" s="294"/>
      <c r="D63" s="294"/>
      <c r="E63" s="295"/>
      <c r="F63" s="298"/>
      <c r="G63" s="299"/>
      <c r="H63" s="299"/>
      <c r="I63" s="299"/>
      <c r="J63" s="209">
        <f>'土石流時2-3'!D72</f>
        <v>5.63</v>
      </c>
      <c r="K63" s="210" t="str">
        <f>'土石流時2-3'!E72</f>
        <v>≧</v>
      </c>
      <c r="L63" s="329">
        <f>'土石流時2-3'!G72</f>
        <v>0</v>
      </c>
      <c r="M63" s="329"/>
      <c r="N63" s="210" t="str">
        <f>'土石流時2-3'!I72</f>
        <v>OK</v>
      </c>
      <c r="O63" s="210"/>
      <c r="P63" s="210"/>
      <c r="Q63" s="71"/>
      <c r="R63" s="14"/>
      <c r="S63" s="14"/>
    </row>
    <row r="64" ht="15.75" customHeight="1">
      <c r="O64" s="61"/>
    </row>
  </sheetData>
  <sheetProtection/>
  <mergeCells count="23">
    <mergeCell ref="L63:M63"/>
    <mergeCell ref="L59:M59"/>
    <mergeCell ref="O59:P59"/>
    <mergeCell ref="B60:E60"/>
    <mergeCell ref="F60:I60"/>
    <mergeCell ref="L60:M60"/>
    <mergeCell ref="B61:E63"/>
    <mergeCell ref="F61:I61"/>
    <mergeCell ref="L61:M61"/>
    <mergeCell ref="F62:I63"/>
    <mergeCell ref="L62:M62"/>
    <mergeCell ref="F35:G35"/>
    <mergeCell ref="I35:J35"/>
    <mergeCell ref="F39:J39"/>
    <mergeCell ref="B58:D58"/>
    <mergeCell ref="B59:E59"/>
    <mergeCell ref="F59:I59"/>
    <mergeCell ref="I9:J9"/>
    <mergeCell ref="E21:F21"/>
    <mergeCell ref="I24:J24"/>
    <mergeCell ref="K29:L29"/>
    <mergeCell ref="O29:P29"/>
    <mergeCell ref="I34:J34"/>
  </mergeCells>
  <printOptions/>
  <pageMargins left="0.7874015748031497" right="0" top="0.984251968503937" bottom="0.1968503937007874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">
      <selection activeCell="L19" sqref="L19"/>
    </sheetView>
  </sheetViews>
  <sheetFormatPr defaultColWidth="9.25390625" defaultRowHeight="13.5"/>
  <cols>
    <col min="1" max="1" width="9.375" style="223" customWidth="1"/>
    <col min="2" max="2" width="4.00390625" style="223" customWidth="1"/>
    <col min="3" max="3" width="5.75390625" style="223" customWidth="1"/>
    <col min="4" max="4" width="2.25390625" style="223" customWidth="1"/>
    <col min="5" max="5" width="5.75390625" style="223" customWidth="1"/>
    <col min="6" max="6" width="2.875" style="223" customWidth="1"/>
    <col min="7" max="7" width="5.75390625" style="223" customWidth="1"/>
    <col min="8" max="8" width="2.25390625" style="223" customWidth="1"/>
    <col min="9" max="9" width="5.75390625" style="223" customWidth="1"/>
    <col min="10" max="10" width="2.25390625" style="223" customWidth="1"/>
    <col min="11" max="11" width="5.75390625" style="223" customWidth="1"/>
    <col min="12" max="12" width="2.25390625" style="223" customWidth="1"/>
    <col min="13" max="14" width="7.625" style="223" customWidth="1"/>
    <col min="15" max="15" width="5.75390625" style="223" customWidth="1"/>
    <col min="16" max="16" width="2.875" style="223" customWidth="1"/>
    <col min="17" max="17" width="5.75390625" style="223" customWidth="1"/>
    <col min="18" max="18" width="2.25390625" style="223" customWidth="1"/>
    <col min="19" max="19" width="5.75390625" style="223" customWidth="1"/>
    <col min="20" max="20" width="2.25390625" style="223" customWidth="1"/>
    <col min="21" max="21" width="5.75390625" style="223" customWidth="1"/>
    <col min="22" max="22" width="2.25390625" style="223" customWidth="1"/>
    <col min="23" max="23" width="5.75390625" style="223" customWidth="1"/>
    <col min="24" max="24" width="2.25390625" style="223" customWidth="1"/>
    <col min="25" max="25" width="5.75390625" style="223" customWidth="1"/>
    <col min="26" max="26" width="2.25390625" style="223" customWidth="1"/>
    <col min="27" max="27" width="6.75390625" style="223" customWidth="1"/>
    <col min="28" max="28" width="8.50390625" style="223" customWidth="1"/>
    <col min="29" max="16384" width="9.25390625" style="223" customWidth="1"/>
  </cols>
  <sheetData>
    <row r="1" spans="1:28" ht="18" customHeight="1">
      <c r="A1" s="14"/>
      <c r="B1" s="14"/>
      <c r="C1" s="14"/>
      <c r="D1" s="14"/>
      <c r="E1" s="14"/>
      <c r="F1" s="14"/>
      <c r="G1" s="15" t="s">
        <v>250</v>
      </c>
      <c r="H1" s="16"/>
      <c r="I1" s="17" t="s">
        <v>251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8"/>
      <c r="V1" s="14"/>
      <c r="W1" s="19"/>
      <c r="X1" s="14"/>
      <c r="Y1" s="18"/>
      <c r="Z1" s="14"/>
      <c r="AA1" s="16"/>
      <c r="AB1" s="14"/>
    </row>
    <row r="2" spans="1:28" ht="12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14" customFormat="1" ht="18" customHeight="1">
      <c r="A3" s="306" t="s">
        <v>252</v>
      </c>
      <c r="B3" s="308" t="s">
        <v>253</v>
      </c>
      <c r="C3" s="74"/>
      <c r="D3" s="75"/>
      <c r="E3" s="310" t="s">
        <v>254</v>
      </c>
      <c r="F3" s="310"/>
      <c r="G3" s="310"/>
      <c r="H3" s="310"/>
      <c r="I3" s="310"/>
      <c r="J3" s="310"/>
      <c r="K3" s="75"/>
      <c r="L3" s="75"/>
      <c r="M3" s="76" t="s">
        <v>25</v>
      </c>
      <c r="N3" s="76" t="s">
        <v>26</v>
      </c>
      <c r="O3" s="74"/>
      <c r="P3" s="75"/>
      <c r="Q3" s="310" t="s">
        <v>255</v>
      </c>
      <c r="R3" s="310"/>
      <c r="S3" s="310"/>
      <c r="T3" s="310"/>
      <c r="U3" s="310"/>
      <c r="V3" s="310"/>
      <c r="W3" s="310"/>
      <c r="X3" s="310"/>
      <c r="Y3" s="310"/>
      <c r="Z3" s="310"/>
      <c r="AA3" s="75"/>
      <c r="AB3" s="77" t="s">
        <v>256</v>
      </c>
    </row>
    <row r="4" spans="1:28" s="14" customFormat="1" ht="18" customHeight="1" thickBot="1">
      <c r="A4" s="307"/>
      <c r="B4" s="309"/>
      <c r="C4" s="78"/>
      <c r="D4" s="79"/>
      <c r="E4" s="311"/>
      <c r="F4" s="311"/>
      <c r="G4" s="311"/>
      <c r="H4" s="311"/>
      <c r="I4" s="311"/>
      <c r="J4" s="311"/>
      <c r="K4" s="79"/>
      <c r="L4" s="79"/>
      <c r="M4" s="80" t="s">
        <v>257</v>
      </c>
      <c r="N4" s="80" t="s">
        <v>258</v>
      </c>
      <c r="O4" s="78"/>
      <c r="P4" s="79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79"/>
      <c r="AB4" s="81" t="s">
        <v>259</v>
      </c>
    </row>
    <row r="5" spans="1:29" ht="12.75" thickTop="1">
      <c r="A5" s="82"/>
      <c r="B5" s="83"/>
      <c r="C5" s="83"/>
      <c r="D5" s="84"/>
      <c r="E5" s="84"/>
      <c r="F5" s="84"/>
      <c r="G5" s="84"/>
      <c r="H5" s="84"/>
      <c r="I5" s="84"/>
      <c r="J5" s="84"/>
      <c r="K5" s="84"/>
      <c r="L5" s="85"/>
      <c r="M5" s="86"/>
      <c r="N5" s="86"/>
      <c r="O5" s="83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132"/>
      <c r="AC5" s="225"/>
    </row>
    <row r="6" spans="1:29" ht="12">
      <c r="A6" s="88" t="s">
        <v>28</v>
      </c>
      <c r="B6" s="80" t="s">
        <v>29</v>
      </c>
      <c r="C6" s="89"/>
      <c r="D6" s="79"/>
      <c r="E6" s="90"/>
      <c r="F6" s="79"/>
      <c r="G6" s="90"/>
      <c r="H6" s="79"/>
      <c r="I6" s="79"/>
      <c r="J6" s="79"/>
      <c r="K6" s="79"/>
      <c r="L6" s="90"/>
      <c r="M6" s="91"/>
      <c r="N6" s="91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133"/>
      <c r="AB6" s="92"/>
      <c r="AC6" s="226"/>
    </row>
    <row r="7" spans="1:28" ht="12" customHeight="1">
      <c r="A7" s="93"/>
      <c r="B7" s="94"/>
      <c r="C7" s="134">
        <v>1</v>
      </c>
      <c r="D7" s="95"/>
      <c r="E7" s="95"/>
      <c r="F7" s="95"/>
      <c r="G7" s="135"/>
      <c r="H7" s="95"/>
      <c r="I7" s="96">
        <v>2</v>
      </c>
      <c r="J7" s="95"/>
      <c r="K7" s="95"/>
      <c r="L7" s="95"/>
      <c r="M7" s="97"/>
      <c r="N7" s="97"/>
      <c r="O7" s="134">
        <v>2</v>
      </c>
      <c r="P7" s="112"/>
      <c r="Q7" s="112"/>
      <c r="R7" s="112"/>
      <c r="S7" s="112"/>
      <c r="T7" s="95"/>
      <c r="U7" s="95"/>
      <c r="V7" s="95"/>
      <c r="W7" s="95"/>
      <c r="X7" s="95"/>
      <c r="Y7" s="95"/>
      <c r="Z7" s="95"/>
      <c r="AA7" s="136"/>
      <c r="AB7" s="98"/>
    </row>
    <row r="8" spans="1:28" ht="12">
      <c r="A8" s="99"/>
      <c r="B8" s="80" t="s">
        <v>30</v>
      </c>
      <c r="C8" s="100">
        <v>2</v>
      </c>
      <c r="D8" s="101" t="s">
        <v>31</v>
      </c>
      <c r="E8" s="101">
        <f>'土石流時2-1'!K46</f>
        <v>22.56</v>
      </c>
      <c r="F8" s="101" t="s">
        <v>31</v>
      </c>
      <c r="G8" s="101">
        <f>'土石流時2-1'!I24</f>
        <v>0.35</v>
      </c>
      <c r="H8" s="101" t="s">
        <v>31</v>
      </c>
      <c r="I8" s="101">
        <f>'土石流時2-1'!B22</f>
        <v>11</v>
      </c>
      <c r="J8" s="79"/>
      <c r="K8" s="79"/>
      <c r="L8" s="79"/>
      <c r="M8" s="227">
        <f>E8*G8*I8^I7/C8</f>
        <v>477.71</v>
      </c>
      <c r="N8" s="227"/>
      <c r="O8" s="100">
        <v>3</v>
      </c>
      <c r="P8" s="101" t="s">
        <v>31</v>
      </c>
      <c r="Q8" s="101">
        <f>G8</f>
        <v>0.35</v>
      </c>
      <c r="R8" s="101" t="s">
        <v>31</v>
      </c>
      <c r="S8" s="101">
        <f>I8</f>
        <v>11</v>
      </c>
      <c r="T8" s="79"/>
      <c r="U8" s="79"/>
      <c r="V8" s="79"/>
      <c r="W8" s="79"/>
      <c r="X8" s="79"/>
      <c r="Y8" s="79"/>
      <c r="Z8" s="101" t="s">
        <v>10</v>
      </c>
      <c r="AA8" s="137">
        <f>O7/O8*Q8*S8</f>
        <v>2.57</v>
      </c>
      <c r="AB8" s="228">
        <f>ROUND(AA8*M8+AA8*N8,2)</f>
        <v>1227.71</v>
      </c>
    </row>
    <row r="9" spans="1:28" ht="12">
      <c r="A9" s="93"/>
      <c r="B9" s="94"/>
      <c r="C9" s="111"/>
      <c r="D9" s="112"/>
      <c r="E9" s="112"/>
      <c r="F9" s="112"/>
      <c r="G9" s="112"/>
      <c r="H9" s="112"/>
      <c r="I9" s="112"/>
      <c r="J9" s="95"/>
      <c r="K9" s="95"/>
      <c r="L9" s="95"/>
      <c r="M9" s="97"/>
      <c r="N9" s="97"/>
      <c r="O9" s="94"/>
      <c r="P9" s="95"/>
      <c r="Q9" s="95"/>
      <c r="R9" s="112"/>
      <c r="S9" s="138">
        <v>1</v>
      </c>
      <c r="T9" s="112"/>
      <c r="U9" s="112"/>
      <c r="V9" s="95"/>
      <c r="W9" s="95"/>
      <c r="X9" s="95"/>
      <c r="Y9" s="112"/>
      <c r="Z9" s="112"/>
      <c r="AA9" s="139"/>
      <c r="AB9" s="229"/>
    </row>
    <row r="10" spans="1:28" ht="12">
      <c r="A10" s="99"/>
      <c r="B10" s="80" t="s">
        <v>32</v>
      </c>
      <c r="C10" s="141">
        <f>E8</f>
        <v>22.56</v>
      </c>
      <c r="D10" s="101" t="str">
        <f>D8</f>
        <v>×</v>
      </c>
      <c r="E10" s="101">
        <f>'土石流時2-1'!H35</f>
        <v>3</v>
      </c>
      <c r="F10" s="101" t="str">
        <f>F8</f>
        <v>×</v>
      </c>
      <c r="G10" s="101">
        <f>'土石流時2-1'!B22</f>
        <v>11</v>
      </c>
      <c r="H10" s="90"/>
      <c r="I10" s="90"/>
      <c r="J10" s="79"/>
      <c r="K10" s="79"/>
      <c r="L10" s="79"/>
      <c r="M10" s="227">
        <f>C10*E10*G10</f>
        <v>744.48</v>
      </c>
      <c r="N10" s="227"/>
      <c r="O10" s="141">
        <f>G8</f>
        <v>0.35</v>
      </c>
      <c r="P10" s="101" t="s">
        <v>31</v>
      </c>
      <c r="Q10" s="101">
        <f>S8</f>
        <v>11</v>
      </c>
      <c r="R10" s="101" t="s">
        <v>17</v>
      </c>
      <c r="S10" s="110">
        <v>2</v>
      </c>
      <c r="T10" s="101" t="s">
        <v>31</v>
      </c>
      <c r="U10" s="101">
        <f>E10</f>
        <v>3</v>
      </c>
      <c r="V10" s="79"/>
      <c r="W10" s="79"/>
      <c r="X10" s="79"/>
      <c r="Y10" s="103"/>
      <c r="Z10" s="101" t="s">
        <v>10</v>
      </c>
      <c r="AA10" s="142">
        <f>Q10*O10+U10/S10</f>
        <v>5.35</v>
      </c>
      <c r="AB10" s="228">
        <f>ROUND(AA10*M10+AA10*N10,2)</f>
        <v>3982.97</v>
      </c>
    </row>
    <row r="11" spans="1:28" ht="13.5">
      <c r="A11" s="93"/>
      <c r="B11" s="94"/>
      <c r="C11" s="134">
        <v>1</v>
      </c>
      <c r="D11" s="112"/>
      <c r="E11" s="112"/>
      <c r="F11" s="112"/>
      <c r="G11" s="112"/>
      <c r="H11" s="112"/>
      <c r="I11" s="114">
        <v>2</v>
      </c>
      <c r="J11" s="95"/>
      <c r="K11" s="95"/>
      <c r="L11" s="95"/>
      <c r="M11" s="97"/>
      <c r="N11" s="97"/>
      <c r="O11" s="94"/>
      <c r="P11" s="95"/>
      <c r="Q11" s="95"/>
      <c r="R11" s="95"/>
      <c r="S11" s="95"/>
      <c r="T11" s="95"/>
      <c r="U11" s="138">
        <v>1</v>
      </c>
      <c r="V11" s="95"/>
      <c r="W11" s="95"/>
      <c r="X11" s="95"/>
      <c r="Y11" s="95"/>
      <c r="Z11" s="95"/>
      <c r="AA11" s="136"/>
      <c r="AB11" s="229"/>
    </row>
    <row r="12" spans="1:28" ht="12">
      <c r="A12" s="99"/>
      <c r="B12" s="80" t="s">
        <v>33</v>
      </c>
      <c r="C12" s="100">
        <v>2</v>
      </c>
      <c r="D12" s="101" t="str">
        <f>D10</f>
        <v>×</v>
      </c>
      <c r="E12" s="101">
        <f>C10</f>
        <v>22.56</v>
      </c>
      <c r="F12" s="101" t="str">
        <f>F10</f>
        <v>×</v>
      </c>
      <c r="G12" s="101">
        <f>'土石流時2-1'!E21</f>
        <v>0.2</v>
      </c>
      <c r="H12" s="101" t="str">
        <f>H8</f>
        <v>×</v>
      </c>
      <c r="I12" s="101">
        <f>'土石流時2-1'!B22</f>
        <v>11</v>
      </c>
      <c r="J12" s="79"/>
      <c r="K12" s="79"/>
      <c r="L12" s="79"/>
      <c r="M12" s="227">
        <f>E12*G12*I12^I11/C12</f>
        <v>272.98</v>
      </c>
      <c r="N12" s="227"/>
      <c r="O12" s="141">
        <f>O10</f>
        <v>0.35</v>
      </c>
      <c r="P12" s="101" t="s">
        <v>31</v>
      </c>
      <c r="Q12" s="101">
        <f>Q10</f>
        <v>11</v>
      </c>
      <c r="R12" s="101" t="s">
        <v>17</v>
      </c>
      <c r="S12" s="101">
        <f>U10</f>
        <v>3</v>
      </c>
      <c r="T12" s="101" t="s">
        <v>17</v>
      </c>
      <c r="U12" s="110">
        <v>3</v>
      </c>
      <c r="V12" s="101" t="s">
        <v>31</v>
      </c>
      <c r="W12" s="101">
        <f>G12</f>
        <v>0.2</v>
      </c>
      <c r="X12" s="101" t="s">
        <v>31</v>
      </c>
      <c r="Y12" s="101">
        <f>I12</f>
        <v>11</v>
      </c>
      <c r="Z12" s="101" t="s">
        <v>10</v>
      </c>
      <c r="AA12" s="142">
        <f>Q12*O12+S12+Y12*W12/U12</f>
        <v>7.58</v>
      </c>
      <c r="AB12" s="228">
        <f>ROUND(AA12*M12+AA12*N12,2)</f>
        <v>2069.19</v>
      </c>
    </row>
    <row r="13" spans="1:28" ht="12">
      <c r="A13" s="93"/>
      <c r="B13" s="94"/>
      <c r="C13" s="111"/>
      <c r="D13" s="112"/>
      <c r="E13" s="112"/>
      <c r="F13" s="112"/>
      <c r="G13" s="112"/>
      <c r="H13" s="112"/>
      <c r="I13" s="112"/>
      <c r="J13" s="95"/>
      <c r="K13" s="95"/>
      <c r="L13" s="95"/>
      <c r="M13" s="97"/>
      <c r="N13" s="97"/>
      <c r="O13" s="94"/>
      <c r="P13" s="95"/>
      <c r="Q13" s="95"/>
      <c r="R13" s="112"/>
      <c r="S13" s="138">
        <v>1</v>
      </c>
      <c r="T13" s="112"/>
      <c r="U13" s="112"/>
      <c r="V13" s="95"/>
      <c r="W13" s="95"/>
      <c r="X13" s="95"/>
      <c r="Y13" s="112"/>
      <c r="Z13" s="112"/>
      <c r="AA13" s="139"/>
      <c r="AB13" s="229"/>
    </row>
    <row r="14" spans="1:28" ht="12">
      <c r="A14" s="99"/>
      <c r="B14" s="80" t="s">
        <v>260</v>
      </c>
      <c r="C14" s="141">
        <f>C10</f>
        <v>22.56</v>
      </c>
      <c r="D14" s="101" t="str">
        <f>D12</f>
        <v>×</v>
      </c>
      <c r="E14" s="101">
        <f>E10</f>
        <v>3</v>
      </c>
      <c r="F14" s="101" t="str">
        <f>F12</f>
        <v>×</v>
      </c>
      <c r="G14" s="101">
        <f>'土石流時2-1'!B9</f>
        <v>0.6</v>
      </c>
      <c r="H14" s="90"/>
      <c r="I14" s="90"/>
      <c r="J14" s="79"/>
      <c r="K14" s="79"/>
      <c r="L14" s="79"/>
      <c r="M14" s="227">
        <f>C14*E14*G14</f>
        <v>40.61</v>
      </c>
      <c r="N14" s="227"/>
      <c r="O14" s="141">
        <f>O10</f>
        <v>0.35</v>
      </c>
      <c r="P14" s="101" t="s">
        <v>31</v>
      </c>
      <c r="Q14" s="101">
        <f>Q12</f>
        <v>11</v>
      </c>
      <c r="R14" s="101" t="s">
        <v>17</v>
      </c>
      <c r="S14" s="110">
        <v>2</v>
      </c>
      <c r="T14" s="101" t="s">
        <v>31</v>
      </c>
      <c r="U14" s="101">
        <f>E14</f>
        <v>3</v>
      </c>
      <c r="V14" s="79"/>
      <c r="W14" s="79"/>
      <c r="X14" s="79"/>
      <c r="Y14" s="103"/>
      <c r="Z14" s="101" t="s">
        <v>10</v>
      </c>
      <c r="AA14" s="142">
        <f>Q14*O14+U14/S14</f>
        <v>5.35</v>
      </c>
      <c r="AB14" s="228">
        <f>ROUND(AA14*M14+AA14*N14,2)</f>
        <v>217.26</v>
      </c>
    </row>
    <row r="15" spans="1:28" ht="12">
      <c r="A15" s="93"/>
      <c r="B15" s="94"/>
      <c r="C15" s="111"/>
      <c r="D15" s="112"/>
      <c r="E15" s="112"/>
      <c r="F15" s="112"/>
      <c r="G15" s="112"/>
      <c r="H15" s="112"/>
      <c r="I15" s="95"/>
      <c r="J15" s="95"/>
      <c r="K15" s="95"/>
      <c r="L15" s="112"/>
      <c r="M15" s="97"/>
      <c r="N15" s="97"/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39"/>
      <c r="AB15" s="229"/>
    </row>
    <row r="16" spans="1:28" ht="12">
      <c r="A16" s="88" t="s">
        <v>34</v>
      </c>
      <c r="B16" s="80" t="s">
        <v>35</v>
      </c>
      <c r="C16" s="119"/>
      <c r="D16" s="103"/>
      <c r="E16" s="103"/>
      <c r="F16" s="103"/>
      <c r="G16" s="103"/>
      <c r="H16" s="103"/>
      <c r="I16" s="79"/>
      <c r="J16" s="79"/>
      <c r="K16" s="79"/>
      <c r="L16" s="103"/>
      <c r="M16" s="227"/>
      <c r="N16" s="227"/>
      <c r="O16" s="119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42"/>
      <c r="AB16" s="228"/>
    </row>
    <row r="17" spans="1:28" ht="13.5">
      <c r="A17" s="93"/>
      <c r="B17" s="94"/>
      <c r="C17" s="134">
        <v>1</v>
      </c>
      <c r="D17" s="112"/>
      <c r="E17" s="112"/>
      <c r="F17" s="112"/>
      <c r="G17" s="112"/>
      <c r="H17" s="112"/>
      <c r="I17" s="95"/>
      <c r="J17" s="114">
        <v>2</v>
      </c>
      <c r="K17" s="95"/>
      <c r="L17" s="114"/>
      <c r="M17" s="97"/>
      <c r="N17" s="97"/>
      <c r="O17" s="134">
        <v>1</v>
      </c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39"/>
      <c r="AB17" s="229"/>
    </row>
    <row r="18" spans="1:28" ht="12">
      <c r="A18" s="99"/>
      <c r="B18" s="80" t="s">
        <v>36</v>
      </c>
      <c r="C18" s="100">
        <v>2</v>
      </c>
      <c r="D18" s="101" t="s">
        <v>31</v>
      </c>
      <c r="E18" s="101">
        <f>'土石流時2-1'!K47</f>
        <v>11.77</v>
      </c>
      <c r="F18" s="101" t="s">
        <v>31</v>
      </c>
      <c r="G18" s="101">
        <f>'土石流時2-1'!I24</f>
        <v>0.35</v>
      </c>
      <c r="H18" s="101" t="s">
        <v>261</v>
      </c>
      <c r="I18" s="101">
        <f>'土石流時2-1'!B22</f>
        <v>11</v>
      </c>
      <c r="J18" s="101"/>
      <c r="K18" s="101"/>
      <c r="L18" s="79"/>
      <c r="M18" s="227">
        <f>E18*G18*I18^J17/C18</f>
        <v>249.23</v>
      </c>
      <c r="N18" s="227"/>
      <c r="O18" s="100">
        <v>3</v>
      </c>
      <c r="P18" s="101" t="s">
        <v>31</v>
      </c>
      <c r="Q18" s="101">
        <f>G18</f>
        <v>0.35</v>
      </c>
      <c r="R18" s="101" t="s">
        <v>262</v>
      </c>
      <c r="S18" s="101">
        <f>I18</f>
        <v>11</v>
      </c>
      <c r="T18" s="101"/>
      <c r="U18" s="101"/>
      <c r="V18" s="79"/>
      <c r="W18" s="103"/>
      <c r="X18" s="103"/>
      <c r="Y18" s="103"/>
      <c r="Z18" s="101" t="s">
        <v>10</v>
      </c>
      <c r="AA18" s="142">
        <f>Q18*S18/O18</f>
        <v>1.28</v>
      </c>
      <c r="AB18" s="228">
        <f>ROUND(AA18*M18+AA18*N18,2)</f>
        <v>319.01</v>
      </c>
    </row>
    <row r="19" spans="1:28" ht="13.5">
      <c r="A19" s="93"/>
      <c r="B19" s="94"/>
      <c r="C19" s="134">
        <v>1</v>
      </c>
      <c r="D19" s="112"/>
      <c r="E19" s="112"/>
      <c r="F19" s="112"/>
      <c r="G19" s="95"/>
      <c r="H19" s="114">
        <v>2</v>
      </c>
      <c r="I19" s="95"/>
      <c r="J19" s="114"/>
      <c r="K19" s="95"/>
      <c r="L19" s="95"/>
      <c r="M19" s="97"/>
      <c r="N19" s="97"/>
      <c r="O19" s="134">
        <v>1</v>
      </c>
      <c r="P19" s="112"/>
      <c r="Q19" s="143"/>
      <c r="R19" s="143"/>
      <c r="S19" s="143"/>
      <c r="T19" s="112"/>
      <c r="U19" s="112"/>
      <c r="V19" s="112"/>
      <c r="W19" s="112"/>
      <c r="X19" s="112"/>
      <c r="Y19" s="112"/>
      <c r="Z19" s="112"/>
      <c r="AA19" s="139"/>
      <c r="AB19" s="229"/>
    </row>
    <row r="20" spans="1:28" ht="12">
      <c r="A20" s="99"/>
      <c r="B20" s="80" t="s">
        <v>40</v>
      </c>
      <c r="C20" s="100">
        <v>2</v>
      </c>
      <c r="D20" s="101" t="s">
        <v>31</v>
      </c>
      <c r="E20" s="101">
        <f>E18</f>
        <v>11.77</v>
      </c>
      <c r="F20" s="101" t="s">
        <v>263</v>
      </c>
      <c r="G20" s="101">
        <f>I18</f>
        <v>11</v>
      </c>
      <c r="H20" s="101"/>
      <c r="I20" s="101"/>
      <c r="J20" s="79"/>
      <c r="K20" s="79"/>
      <c r="L20" s="79"/>
      <c r="M20" s="227"/>
      <c r="N20" s="227">
        <f>E20*G20^H19/C20</f>
        <v>712.09</v>
      </c>
      <c r="O20" s="100">
        <v>3</v>
      </c>
      <c r="P20" s="101" t="s">
        <v>264</v>
      </c>
      <c r="Q20" s="101">
        <f>G20</f>
        <v>11</v>
      </c>
      <c r="R20" s="101"/>
      <c r="S20" s="101"/>
      <c r="T20" s="79"/>
      <c r="U20" s="103"/>
      <c r="V20" s="103"/>
      <c r="W20" s="103"/>
      <c r="X20" s="103"/>
      <c r="Y20" s="103"/>
      <c r="Z20" s="101" t="s">
        <v>10</v>
      </c>
      <c r="AA20" s="142">
        <f>Q20/O20</f>
        <v>3.67</v>
      </c>
      <c r="AB20" s="228">
        <f>ROUND(AA20*M20+AA20*N20,2)</f>
        <v>2613.37</v>
      </c>
    </row>
    <row r="21" spans="1:28" ht="12">
      <c r="A21" s="93"/>
      <c r="B21" s="94"/>
      <c r="C21" s="111"/>
      <c r="D21" s="112"/>
      <c r="E21" s="112"/>
      <c r="F21" s="112"/>
      <c r="G21" s="112"/>
      <c r="H21" s="95"/>
      <c r="I21" s="95"/>
      <c r="J21" s="95"/>
      <c r="K21" s="95"/>
      <c r="L21" s="95"/>
      <c r="M21" s="97"/>
      <c r="N21" s="97"/>
      <c r="O21" s="134">
        <v>1</v>
      </c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39"/>
      <c r="AB21" s="229"/>
    </row>
    <row r="22" spans="1:28" ht="12">
      <c r="A22" s="99"/>
      <c r="B22" s="80" t="s">
        <v>41</v>
      </c>
      <c r="C22" s="141">
        <f>'土石流時2-1'!T11</f>
        <v>0.6</v>
      </c>
      <c r="D22" s="101" t="s">
        <v>31</v>
      </c>
      <c r="E22" s="101">
        <f>E20</f>
        <v>11.77</v>
      </c>
      <c r="F22" s="101" t="s">
        <v>265</v>
      </c>
      <c r="G22" s="101">
        <f>G20</f>
        <v>11</v>
      </c>
      <c r="H22" s="101"/>
      <c r="I22" s="101"/>
      <c r="J22" s="79"/>
      <c r="K22" s="79"/>
      <c r="L22" s="79"/>
      <c r="M22" s="227"/>
      <c r="N22" s="227">
        <f>E22*G22*C22</f>
        <v>77.68</v>
      </c>
      <c r="O22" s="100">
        <v>2</v>
      </c>
      <c r="P22" s="101" t="s">
        <v>264</v>
      </c>
      <c r="Q22" s="101">
        <f>G22</f>
        <v>11</v>
      </c>
      <c r="R22" s="101"/>
      <c r="S22" s="101"/>
      <c r="T22" s="79"/>
      <c r="U22" s="103"/>
      <c r="V22" s="103"/>
      <c r="W22" s="103"/>
      <c r="X22" s="103"/>
      <c r="Y22" s="103"/>
      <c r="Z22" s="101" t="s">
        <v>10</v>
      </c>
      <c r="AA22" s="142">
        <f>Q22/O22</f>
        <v>5.5</v>
      </c>
      <c r="AB22" s="228">
        <f>ROUND(AA22*M22+AA22*N22,2)</f>
        <v>427.24</v>
      </c>
    </row>
    <row r="23" spans="1:28" ht="12">
      <c r="A23" s="93"/>
      <c r="B23" s="94"/>
      <c r="C23" s="111"/>
      <c r="D23" s="112"/>
      <c r="E23" s="112"/>
      <c r="F23" s="112"/>
      <c r="G23" s="107"/>
      <c r="H23" s="112"/>
      <c r="I23" s="112"/>
      <c r="J23" s="95"/>
      <c r="K23" s="95"/>
      <c r="L23" s="95"/>
      <c r="M23" s="97"/>
      <c r="N23" s="97"/>
      <c r="O23" s="111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39"/>
      <c r="AB23" s="229"/>
    </row>
    <row r="24" spans="1:28" ht="12">
      <c r="A24" s="88" t="s">
        <v>52</v>
      </c>
      <c r="B24" s="80" t="s">
        <v>53</v>
      </c>
      <c r="C24" s="109"/>
      <c r="D24" s="103"/>
      <c r="E24" s="90"/>
      <c r="F24" s="103"/>
      <c r="G24" s="90"/>
      <c r="H24" s="103"/>
      <c r="I24" s="103"/>
      <c r="J24" s="79"/>
      <c r="K24" s="79"/>
      <c r="L24" s="79"/>
      <c r="M24" s="227"/>
      <c r="N24" s="227"/>
      <c r="O24" s="109"/>
      <c r="P24" s="103"/>
      <c r="Q24" s="90"/>
      <c r="R24" s="103"/>
      <c r="S24" s="90"/>
      <c r="T24" s="103"/>
      <c r="U24" s="103"/>
      <c r="V24" s="103"/>
      <c r="W24" s="103"/>
      <c r="X24" s="103"/>
      <c r="Y24" s="103"/>
      <c r="Z24" s="103"/>
      <c r="AA24" s="142"/>
      <c r="AB24" s="228"/>
    </row>
    <row r="25" spans="1:28" ht="13.5">
      <c r="A25" s="93"/>
      <c r="B25" s="94"/>
      <c r="C25" s="134">
        <v>1</v>
      </c>
      <c r="D25" s="112"/>
      <c r="E25" s="112"/>
      <c r="F25" s="112"/>
      <c r="G25" s="112"/>
      <c r="H25" s="112"/>
      <c r="I25" s="95"/>
      <c r="J25" s="114">
        <v>2</v>
      </c>
      <c r="K25" s="95"/>
      <c r="L25" s="114"/>
      <c r="M25" s="97"/>
      <c r="N25" s="97"/>
      <c r="O25" s="134">
        <v>1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39"/>
      <c r="AB25" s="229"/>
    </row>
    <row r="26" spans="1:28" ht="12" customHeight="1">
      <c r="A26" s="99"/>
      <c r="B26" s="80" t="s">
        <v>54</v>
      </c>
      <c r="C26" s="100">
        <v>2</v>
      </c>
      <c r="D26" s="101" t="s">
        <v>31</v>
      </c>
      <c r="E26" s="101">
        <f>'土石流時2-1'!K48</f>
        <v>8.24</v>
      </c>
      <c r="F26" s="101" t="s">
        <v>31</v>
      </c>
      <c r="G26" s="101">
        <f>G18</f>
        <v>0.35</v>
      </c>
      <c r="H26" s="101" t="s">
        <v>265</v>
      </c>
      <c r="I26" s="101">
        <f>I18</f>
        <v>11</v>
      </c>
      <c r="J26" s="101"/>
      <c r="K26" s="101"/>
      <c r="L26" s="79"/>
      <c r="M26" s="227">
        <f>E26*G26*I26^J25/C26</f>
        <v>174.48</v>
      </c>
      <c r="N26" s="227"/>
      <c r="O26" s="100">
        <v>3</v>
      </c>
      <c r="P26" s="101" t="s">
        <v>31</v>
      </c>
      <c r="Q26" s="101">
        <f>G26</f>
        <v>0.35</v>
      </c>
      <c r="R26" s="101" t="s">
        <v>266</v>
      </c>
      <c r="S26" s="101">
        <f>I26</f>
        <v>11</v>
      </c>
      <c r="T26" s="101"/>
      <c r="U26" s="101"/>
      <c r="V26" s="79"/>
      <c r="W26" s="103"/>
      <c r="X26" s="103"/>
      <c r="Y26" s="103"/>
      <c r="Z26" s="101" t="s">
        <v>10</v>
      </c>
      <c r="AA26" s="142">
        <f>Q26*S26/O26</f>
        <v>1.28</v>
      </c>
      <c r="AB26" s="228">
        <f>ROUND(AA26*M26+AA26*N26,2)</f>
        <v>223.33</v>
      </c>
    </row>
    <row r="27" spans="1:28" ht="13.5">
      <c r="A27" s="93"/>
      <c r="B27" s="94"/>
      <c r="C27" s="134">
        <v>1</v>
      </c>
      <c r="D27" s="112"/>
      <c r="E27" s="112"/>
      <c r="F27" s="112"/>
      <c r="G27" s="112"/>
      <c r="H27" s="112"/>
      <c r="I27" s="95"/>
      <c r="J27" s="114">
        <v>2</v>
      </c>
      <c r="K27" s="95"/>
      <c r="L27" s="114"/>
      <c r="M27" s="97"/>
      <c r="N27" s="230"/>
      <c r="O27" s="134">
        <v>1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39"/>
      <c r="AB27" s="229"/>
    </row>
    <row r="28" spans="1:28" ht="12">
      <c r="A28" s="99"/>
      <c r="B28" s="80" t="s">
        <v>55</v>
      </c>
      <c r="C28" s="100">
        <v>2</v>
      </c>
      <c r="D28" s="101" t="s">
        <v>31</v>
      </c>
      <c r="E28" s="101">
        <f>'土石流時2-1'!K51</f>
        <v>0.3</v>
      </c>
      <c r="F28" s="101" t="s">
        <v>31</v>
      </c>
      <c r="G28" s="101">
        <f>E26</f>
        <v>8.24</v>
      </c>
      <c r="H28" s="101" t="s">
        <v>267</v>
      </c>
      <c r="I28" s="101">
        <f>I26</f>
        <v>11</v>
      </c>
      <c r="J28" s="101"/>
      <c r="K28" s="101"/>
      <c r="L28" s="79"/>
      <c r="M28" s="227"/>
      <c r="N28" s="227">
        <f>E28*G28*I28^J27/C28</f>
        <v>149.56</v>
      </c>
      <c r="O28" s="100">
        <v>3</v>
      </c>
      <c r="P28" s="101" t="s">
        <v>31</v>
      </c>
      <c r="Q28" s="101">
        <f>I28</f>
        <v>11</v>
      </c>
      <c r="R28" s="101"/>
      <c r="S28" s="101"/>
      <c r="T28" s="79"/>
      <c r="U28" s="103"/>
      <c r="V28" s="103"/>
      <c r="W28" s="103"/>
      <c r="X28" s="103"/>
      <c r="Y28" s="103"/>
      <c r="Z28" s="101" t="s">
        <v>10</v>
      </c>
      <c r="AA28" s="142">
        <f>Q28/O28</f>
        <v>3.67</v>
      </c>
      <c r="AB28" s="228">
        <f>ROUND(AA28*M28+AA28*N28,2)</f>
        <v>548.89</v>
      </c>
    </row>
    <row r="29" spans="1:28" ht="13.5">
      <c r="A29" s="93"/>
      <c r="B29" s="94"/>
      <c r="C29" s="111"/>
      <c r="D29" s="112"/>
      <c r="E29" s="112"/>
      <c r="F29" s="112"/>
      <c r="G29" s="112"/>
      <c r="H29" s="112"/>
      <c r="I29" s="95"/>
      <c r="J29" s="114"/>
      <c r="K29" s="95"/>
      <c r="L29" s="95"/>
      <c r="M29" s="230"/>
      <c r="N29" s="230"/>
      <c r="O29" s="134">
        <v>1</v>
      </c>
      <c r="P29" s="112"/>
      <c r="Q29" s="143"/>
      <c r="R29" s="143"/>
      <c r="S29" s="143"/>
      <c r="T29" s="112"/>
      <c r="U29" s="112"/>
      <c r="V29" s="112"/>
      <c r="W29" s="112"/>
      <c r="X29" s="112"/>
      <c r="Y29" s="112"/>
      <c r="Z29" s="112"/>
      <c r="AA29" s="139"/>
      <c r="AB29" s="120"/>
    </row>
    <row r="30" spans="1:28" ht="12">
      <c r="A30" s="99"/>
      <c r="B30" s="80" t="s">
        <v>56</v>
      </c>
      <c r="C30" s="141">
        <f>E28</f>
        <v>0.3</v>
      </c>
      <c r="D30" s="101" t="s">
        <v>31</v>
      </c>
      <c r="E30" s="101">
        <f>'土石流時2-1'!K50</f>
        <v>7.41</v>
      </c>
      <c r="F30" s="101" t="s">
        <v>31</v>
      </c>
      <c r="G30" s="101">
        <f>'土石流時2-1'!T11</f>
        <v>0.6</v>
      </c>
      <c r="H30" s="101" t="s">
        <v>268</v>
      </c>
      <c r="I30" s="101">
        <f>I28</f>
        <v>11</v>
      </c>
      <c r="J30" s="101"/>
      <c r="K30" s="101"/>
      <c r="L30" s="79"/>
      <c r="M30" s="227"/>
      <c r="N30" s="227">
        <f>E30*G30*I30*C30</f>
        <v>14.67</v>
      </c>
      <c r="O30" s="100">
        <v>2</v>
      </c>
      <c r="P30" s="101" t="s">
        <v>31</v>
      </c>
      <c r="Q30" s="101">
        <f>I30</f>
        <v>11</v>
      </c>
      <c r="R30" s="101"/>
      <c r="S30" s="101"/>
      <c r="T30" s="79"/>
      <c r="U30" s="103"/>
      <c r="V30" s="103"/>
      <c r="W30" s="103"/>
      <c r="X30" s="103"/>
      <c r="Y30" s="103"/>
      <c r="Z30" s="101" t="s">
        <v>10</v>
      </c>
      <c r="AA30" s="142">
        <f>Q30/O30</f>
        <v>5.5</v>
      </c>
      <c r="AB30" s="228">
        <f>ROUND(AA30*M30+AA30*N30,2)</f>
        <v>80.69</v>
      </c>
    </row>
    <row r="31" spans="1:28" ht="12">
      <c r="A31" s="93"/>
      <c r="B31" s="94"/>
      <c r="C31" s="111"/>
      <c r="D31" s="112"/>
      <c r="E31" s="112"/>
      <c r="F31" s="112"/>
      <c r="G31" s="112"/>
      <c r="H31" s="112"/>
      <c r="I31" s="112"/>
      <c r="J31" s="95"/>
      <c r="K31" s="95"/>
      <c r="L31" s="95"/>
      <c r="M31" s="230"/>
      <c r="N31" s="230"/>
      <c r="O31" s="111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47"/>
      <c r="AB31" s="120"/>
    </row>
    <row r="32" spans="1:28" ht="12">
      <c r="A32" s="88" t="s">
        <v>57</v>
      </c>
      <c r="B32" s="80" t="s">
        <v>58</v>
      </c>
      <c r="C32" s="119"/>
      <c r="D32" s="103"/>
      <c r="E32" s="103"/>
      <c r="F32" s="103"/>
      <c r="G32" s="103"/>
      <c r="H32" s="103"/>
      <c r="I32" s="103"/>
      <c r="J32" s="79"/>
      <c r="K32" s="79"/>
      <c r="L32" s="79"/>
      <c r="M32" s="231"/>
      <c r="N32" s="231"/>
      <c r="O32" s="119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37"/>
      <c r="AB32" s="232"/>
    </row>
    <row r="33" spans="1:28" ht="12">
      <c r="A33" s="93"/>
      <c r="B33" s="94"/>
      <c r="C33" s="111"/>
      <c r="D33" s="112"/>
      <c r="E33" s="112"/>
      <c r="F33" s="112"/>
      <c r="G33" s="112"/>
      <c r="H33" s="112"/>
      <c r="I33" s="112"/>
      <c r="J33" s="95"/>
      <c r="K33" s="95"/>
      <c r="L33" s="95"/>
      <c r="M33" s="230"/>
      <c r="N33" s="230"/>
      <c r="O33" s="134">
        <v>1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47"/>
      <c r="AB33" s="120"/>
    </row>
    <row r="34" spans="1:28" ht="12">
      <c r="A34" s="99"/>
      <c r="B34" s="80" t="s">
        <v>269</v>
      </c>
      <c r="C34" s="141">
        <f>'土石流時2-1'!K49</f>
        <v>19.18</v>
      </c>
      <c r="D34" s="101" t="s">
        <v>31</v>
      </c>
      <c r="E34" s="101">
        <f>G30</f>
        <v>0.6</v>
      </c>
      <c r="F34" s="101" t="s">
        <v>31</v>
      </c>
      <c r="G34" s="101">
        <f>G26</f>
        <v>0.35</v>
      </c>
      <c r="H34" s="101" t="s">
        <v>270</v>
      </c>
      <c r="I34" s="101">
        <f>I30</f>
        <v>11</v>
      </c>
      <c r="J34" s="101"/>
      <c r="K34" s="101"/>
      <c r="L34" s="79"/>
      <c r="M34" s="227">
        <f>E34*G34*I34*C34</f>
        <v>44.31</v>
      </c>
      <c r="N34" s="231"/>
      <c r="O34" s="100">
        <v>2</v>
      </c>
      <c r="P34" s="101" t="s">
        <v>31</v>
      </c>
      <c r="Q34" s="101">
        <f>G34</f>
        <v>0.35</v>
      </c>
      <c r="R34" s="101" t="s">
        <v>271</v>
      </c>
      <c r="S34" s="101">
        <f>I34</f>
        <v>11</v>
      </c>
      <c r="T34" s="101"/>
      <c r="U34" s="101"/>
      <c r="V34" s="79"/>
      <c r="W34" s="103"/>
      <c r="X34" s="103"/>
      <c r="Y34" s="103"/>
      <c r="Z34" s="101" t="s">
        <v>10</v>
      </c>
      <c r="AA34" s="142">
        <f>Q34*S34/O34</f>
        <v>1.93</v>
      </c>
      <c r="AB34" s="228">
        <f>ROUND(AA34*M34+AA34*N34,2)</f>
        <v>85.52</v>
      </c>
    </row>
    <row r="35" spans="1:28" ht="12">
      <c r="A35" s="93"/>
      <c r="B35" s="94"/>
      <c r="C35" s="111"/>
      <c r="D35" s="112"/>
      <c r="E35" s="112"/>
      <c r="F35" s="112"/>
      <c r="G35" s="112"/>
      <c r="H35" s="112"/>
      <c r="I35" s="112"/>
      <c r="J35" s="95"/>
      <c r="K35" s="95"/>
      <c r="L35" s="95"/>
      <c r="M35" s="230"/>
      <c r="N35" s="230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47"/>
      <c r="AB35" s="229"/>
    </row>
    <row r="36" spans="1:28" ht="12">
      <c r="A36" s="88" t="s">
        <v>60</v>
      </c>
      <c r="B36" s="80" t="s">
        <v>61</v>
      </c>
      <c r="C36" s="119"/>
      <c r="D36" s="103"/>
      <c r="E36" s="103"/>
      <c r="F36" s="103"/>
      <c r="G36" s="103"/>
      <c r="H36" s="103"/>
      <c r="I36" s="103"/>
      <c r="J36" s="79"/>
      <c r="K36" s="79"/>
      <c r="L36" s="79"/>
      <c r="M36" s="227"/>
      <c r="N36" s="227"/>
      <c r="O36" s="119"/>
      <c r="P36" s="103"/>
      <c r="Q36" s="103"/>
      <c r="R36" s="103"/>
      <c r="S36" s="103"/>
      <c r="T36" s="233"/>
      <c r="U36" s="233"/>
      <c r="V36" s="233"/>
      <c r="W36" s="233"/>
      <c r="X36" s="103"/>
      <c r="Y36" s="103"/>
      <c r="Z36" s="103"/>
      <c r="AA36" s="137"/>
      <c r="AB36" s="228"/>
    </row>
    <row r="37" spans="1:28" ht="13.5">
      <c r="A37" s="93"/>
      <c r="B37" s="94"/>
      <c r="C37" s="134"/>
      <c r="D37" s="143"/>
      <c r="E37" s="199">
        <f>C34</f>
        <v>19.18</v>
      </c>
      <c r="F37" s="143"/>
      <c r="G37" s="143"/>
      <c r="H37" s="112"/>
      <c r="I37" s="114">
        <v>2</v>
      </c>
      <c r="J37" s="95"/>
      <c r="K37" s="95"/>
      <c r="L37" s="95"/>
      <c r="M37" s="230"/>
      <c r="N37" s="230"/>
      <c r="O37" s="111"/>
      <c r="P37" s="143"/>
      <c r="Q37" s="143">
        <f>G38</f>
        <v>0.6</v>
      </c>
      <c r="R37" s="143"/>
      <c r="S37" s="138"/>
      <c r="T37" s="129"/>
      <c r="U37" s="129"/>
      <c r="V37" s="103"/>
      <c r="W37" s="103"/>
      <c r="X37" s="112"/>
      <c r="Y37" s="112"/>
      <c r="Z37" s="112"/>
      <c r="AA37" s="147"/>
      <c r="AB37" s="120"/>
    </row>
    <row r="38" spans="1:28" ht="12">
      <c r="A38" s="99"/>
      <c r="B38" s="80" t="s">
        <v>61</v>
      </c>
      <c r="C38" s="140">
        <v>1</v>
      </c>
      <c r="D38" s="101" t="s">
        <v>31</v>
      </c>
      <c r="E38" s="199">
        <f>'土石流時2-1'!K53</f>
        <v>9.81</v>
      </c>
      <c r="F38" s="101" t="s">
        <v>31</v>
      </c>
      <c r="G38" s="101">
        <f>E34</f>
        <v>0.6</v>
      </c>
      <c r="H38" s="101" t="s">
        <v>31</v>
      </c>
      <c r="I38" s="101">
        <f>'土石流時2-1'!K45</f>
        <v>4</v>
      </c>
      <c r="J38" s="79"/>
      <c r="K38" s="79"/>
      <c r="L38" s="79"/>
      <c r="M38" s="231"/>
      <c r="N38" s="227">
        <f>E37/E38*G38*I38^I37*C38</f>
        <v>18.77</v>
      </c>
      <c r="O38" s="109">
        <f>S34</f>
        <v>11</v>
      </c>
      <c r="P38" s="79" t="s">
        <v>272</v>
      </c>
      <c r="Q38" s="95">
        <v>2</v>
      </c>
      <c r="R38" s="101"/>
      <c r="S38" s="101"/>
      <c r="T38" s="129"/>
      <c r="U38" s="129"/>
      <c r="V38" s="103"/>
      <c r="W38" s="103"/>
      <c r="X38" s="103"/>
      <c r="Y38" s="103"/>
      <c r="Z38" s="101" t="s">
        <v>10</v>
      </c>
      <c r="AA38" s="142">
        <f>O38+Q37/Q38</f>
        <v>11.3</v>
      </c>
      <c r="AB38" s="228">
        <f>ROUND(AA38*M38+AA38*N38,2)</f>
        <v>212.1</v>
      </c>
    </row>
    <row r="39" spans="1:28" ht="12">
      <c r="A39" s="93"/>
      <c r="B39" s="94"/>
      <c r="C39" s="111"/>
      <c r="D39" s="112"/>
      <c r="E39" s="112"/>
      <c r="F39" s="112"/>
      <c r="G39" s="112"/>
      <c r="H39" s="112"/>
      <c r="I39" s="95"/>
      <c r="J39" s="95"/>
      <c r="K39" s="95"/>
      <c r="L39" s="112"/>
      <c r="M39" s="230"/>
      <c r="N39" s="230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47"/>
      <c r="AB39" s="120"/>
    </row>
    <row r="40" spans="1:28" ht="12.75" thickBot="1">
      <c r="A40" s="150" t="s">
        <v>43</v>
      </c>
      <c r="B40" s="122"/>
      <c r="C40" s="123"/>
      <c r="D40" s="124"/>
      <c r="E40" s="124"/>
      <c r="F40" s="124"/>
      <c r="G40" s="124"/>
      <c r="H40" s="124"/>
      <c r="I40" s="125"/>
      <c r="J40" s="125"/>
      <c r="K40" s="125"/>
      <c r="L40" s="124"/>
      <c r="M40" s="126">
        <f>SUM(M6:M38)</f>
        <v>2003.8</v>
      </c>
      <c r="N40" s="126">
        <f>SUM(N6:N38)</f>
        <v>972.77</v>
      </c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52"/>
      <c r="AB40" s="234">
        <f>SUM(AB6:AB38)</f>
        <v>12007.28</v>
      </c>
    </row>
    <row r="41" spans="1:28" ht="12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6"/>
      <c r="N41" s="236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7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pans="2:4" ht="12" customHeight="1">
      <c r="B52" s="238"/>
      <c r="C52" s="238"/>
      <c r="D52" s="238"/>
    </row>
    <row r="53" ht="12" customHeight="1"/>
    <row r="54" ht="12" customHeight="1"/>
    <row r="55" ht="12" customHeight="1"/>
    <row r="56" ht="12">
      <c r="AC56" s="239"/>
    </row>
    <row r="57" ht="12" customHeight="1"/>
    <row r="58" ht="12">
      <c r="AC58" s="239"/>
    </row>
    <row r="59" ht="12" customHeight="1"/>
    <row r="60" ht="12">
      <c r="AC60" s="239"/>
    </row>
  </sheetData>
  <sheetProtection/>
  <mergeCells count="4">
    <mergeCell ref="A3:A4"/>
    <mergeCell ref="B3:B4"/>
    <mergeCell ref="E3:J4"/>
    <mergeCell ref="Q3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野口英幸</dc:creator>
  <cp:keywords/>
  <dc:description/>
  <cp:lastModifiedBy>野口英幸</cp:lastModifiedBy>
  <cp:lastPrinted>2021-10-19T06:40:15Z</cp:lastPrinted>
  <dcterms:created xsi:type="dcterms:W3CDTF">2000-09-22T10:22:50Z</dcterms:created>
  <dcterms:modified xsi:type="dcterms:W3CDTF">2022-08-19T05:02:38Z</dcterms:modified>
  <cp:category/>
  <cp:version/>
  <cp:contentType/>
  <cp:contentStatus/>
</cp:coreProperties>
</file>