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30" activeTab="0"/>
  </bookViews>
  <sheets>
    <sheet name="まとめ" sheetId="1" r:id="rId1"/>
    <sheet name="洪水1-1" sheetId="2" r:id="rId2"/>
    <sheet name="洪水1-2" sheetId="3" r:id="rId3"/>
    <sheet name="洪水1-3" sheetId="4" r:id="rId4"/>
    <sheet name="洪水1-1 (2)" sheetId="5" r:id="rId5"/>
    <sheet name="洪水1-2 (2)" sheetId="6" r:id="rId6"/>
    <sheet name="洪水1-3 (2)" sheetId="7" r:id="rId7"/>
  </sheets>
  <definedNames/>
  <calcPr fullCalcOnLoad="1" fullPrecision="0"/>
</workbook>
</file>

<file path=xl/sharedStrings.xml><?xml version="1.0" encoding="utf-8"?>
<sst xmlns="http://schemas.openxmlformats.org/spreadsheetml/2006/main" count="534" uniqueCount="183">
  <si>
    <t>検討断面</t>
  </si>
  <si>
    <t>滑動</t>
  </si>
  <si>
    <t>転倒</t>
  </si>
  <si>
    <t>支持力</t>
  </si>
  <si>
    <t>評価</t>
  </si>
  <si>
    <t>項目</t>
  </si>
  <si>
    <t>洪水時安定計算</t>
  </si>
  <si>
    <t>a) 形状寸法</t>
  </si>
  <si>
    <t>流水の単位体積重量</t>
  </si>
  <si>
    <t>基礎地盤の土質</t>
  </si>
  <si>
    <t>地盤の許容支持力</t>
  </si>
  <si>
    <t>滑動に対する安全率</t>
  </si>
  <si>
    <t>摩擦係数</t>
  </si>
  <si>
    <t>岩盤せん断強度</t>
  </si>
  <si>
    <t>コンクリートせん断強度</t>
  </si>
  <si>
    <t>計算結果</t>
  </si>
  <si>
    <t>＝</t>
  </si>
  <si>
    <t>m</t>
  </si>
  <si>
    <t>≦</t>
  </si>
  <si>
    <t xml:space="preserve">e ＝ </t>
  </si>
  <si>
    <t>－</t>
  </si>
  <si>
    <t xml:space="preserve">e :  </t>
  </si>
  <si>
    <t>・（</t>
  </si>
  <si>
    <t>＋</t>
  </si>
  <si>
    <t>・</t>
  </si>
  <si>
    <t>e</t>
  </si>
  <si>
    <t>）</t>
  </si>
  <si>
    <t>）＝</t>
  </si>
  <si>
    <t>設計荷重</t>
  </si>
  <si>
    <t>記号</t>
  </si>
  <si>
    <t>計算式</t>
  </si>
  <si>
    <t>鉛直力</t>
  </si>
  <si>
    <t>水平力</t>
  </si>
  <si>
    <t>堤底の上流端から作用線までの距離 (L)</t>
  </si>
  <si>
    <t>堤体の自重</t>
  </si>
  <si>
    <t>W</t>
  </si>
  <si>
    <t>×</t>
  </si>
  <si>
    <t>静水圧</t>
  </si>
  <si>
    <t>P</t>
  </si>
  <si>
    <t>PV1</t>
  </si>
  <si>
    <t>PV2</t>
  </si>
  <si>
    <t>PH1</t>
  </si>
  <si>
    <t>PH2</t>
  </si>
  <si>
    <t>kN/m</t>
  </si>
  <si>
    <t>合　計</t>
  </si>
  <si>
    <t>(V)</t>
  </si>
  <si>
    <t>(H)</t>
  </si>
  <si>
    <t>M=V･L+H･L</t>
  </si>
  <si>
    <t>：</t>
  </si>
  <si>
    <t>：</t>
  </si>
  <si>
    <t>：</t>
  </si>
  <si>
    <t>：</t>
  </si>
  <si>
    <t>W1　</t>
  </si>
  <si>
    <t>　b3=</t>
  </si>
  <si>
    <t>　b1=</t>
  </si>
  <si>
    <t>　b4=</t>
  </si>
  <si>
    <t>モーメント</t>
  </si>
  <si>
    <t>kN･m/m</t>
  </si>
  <si>
    <t>b)</t>
  </si>
  <si>
    <t>：</t>
  </si>
  <si>
    <t>2)</t>
  </si>
  <si>
    <t>堤底幅 (m)</t>
  </si>
  <si>
    <r>
      <t>堤体内に生ずる応力(kN/m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</si>
  <si>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地盤の受ける応力(kN/m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</si>
  <si>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▽</t>
  </si>
  <si>
    <t>≡</t>
  </si>
  <si>
    <r>
      <t>kN/m</t>
    </r>
    <r>
      <rPr>
        <vertAlign val="superscript"/>
        <sz val="10"/>
        <rFont val="ＭＳ 明朝"/>
        <family val="1"/>
      </rPr>
      <t>2</t>
    </r>
  </si>
  <si>
    <t>コンクリート圧縮応力</t>
  </si>
  <si>
    <t>　1) 安定計算のまとめ</t>
  </si>
  <si>
    <t xml:space="preserve">  上流勾配を0.05急にした場合 OUT</t>
  </si>
  <si>
    <t>▽</t>
  </si>
  <si>
    <t>H.W.L</t>
  </si>
  <si>
    <t>≡</t>
  </si>
  <si>
    <t>PV2</t>
  </si>
  <si>
    <t>h3=</t>
  </si>
  <si>
    <t>H=</t>
  </si>
  <si>
    <t>PV1　</t>
  </si>
  <si>
    <t>PH2</t>
  </si>
  <si>
    <t>PH1</t>
  </si>
  <si>
    <t>　b2=</t>
  </si>
  <si>
    <t>コンクリートの単位体積重量</t>
  </si>
  <si>
    <r>
      <t>kN/m</t>
    </r>
    <r>
      <rPr>
        <vertAlign val="superscript"/>
        <sz val="10"/>
        <rFont val="ＭＳ 明朝"/>
        <family val="1"/>
      </rPr>
      <t>3</t>
    </r>
  </si>
  <si>
    <r>
      <t>kN/m</t>
    </r>
    <r>
      <rPr>
        <vertAlign val="superscript"/>
        <sz val="10"/>
        <rFont val="ＭＳ 明朝"/>
        <family val="1"/>
      </rPr>
      <t>3</t>
    </r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</si>
  <si>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</si>
  <si>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</si>
  <si>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r>
      <t>kN/m</t>
    </r>
    <r>
      <rPr>
        <vertAlign val="superscript"/>
        <sz val="10"/>
        <rFont val="ＭＳ 明朝"/>
        <family val="1"/>
      </rPr>
      <t>2</t>
    </r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</si>
  <si>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</si>
  <si>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</si>
  <si>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t>e) 堰堤堤体及び基礎地盤の破壊に対する安定計算</t>
  </si>
  <si>
    <t>堰堤堤体及び基礎地盤の破壊に対する安定</t>
  </si>
  <si>
    <t>砂防堰堤単位当り断面に作用する力 （洪水位）</t>
  </si>
  <si>
    <t>3)</t>
  </si>
  <si>
    <t>採用断面</t>
  </si>
  <si>
    <t>軟岩I</t>
  </si>
  <si>
    <t>① 1号床固工安定計算</t>
  </si>
  <si>
    <t>c) 転倒に対する安定計算</t>
  </si>
  <si>
    <t xml:space="preserve"> x ＝ </t>
  </si>
  <si>
    <t>M</t>
  </si>
  <si>
    <t>V</t>
  </si>
  <si>
    <t>≦</t>
  </si>
  <si>
    <t>X</t>
  </si>
  <si>
    <t>b2</t>
  </si>
  <si>
    <t xml:space="preserve">x :  </t>
  </si>
  <si>
    <t>荷重の合力作用線と堤底との交点から堤底の上流端までの距離 (m)</t>
  </si>
  <si>
    <t xml:space="preserve"> b2 :  </t>
  </si>
  <si>
    <t xml:space="preserve">M :  </t>
  </si>
  <si>
    <t>モーメントの合計 (kN/m)</t>
  </si>
  <si>
    <t xml:space="preserve">V :  </t>
  </si>
  <si>
    <t>鉛直力の合計 (kN/m)</t>
  </si>
  <si>
    <t>d) 滑動に対する安定計算</t>
  </si>
  <si>
    <t xml:space="preserve">n ≦ </t>
  </si>
  <si>
    <t>=</t>
  </si>
  <si>
    <t>f</t>
  </si>
  <si>
    <t>・</t>
  </si>
  <si>
    <t>V</t>
  </si>
  <si>
    <t>+</t>
  </si>
  <si>
    <t>τo</t>
  </si>
  <si>
    <t>・</t>
  </si>
  <si>
    <t>L</t>
  </si>
  <si>
    <t>H</t>
  </si>
  <si>
    <t>=</t>
  </si>
  <si>
    <t>+</t>
  </si>
  <si>
    <t>=</t>
  </si>
  <si>
    <t xml:space="preserve">n :  </t>
  </si>
  <si>
    <t>安全率</t>
  </si>
  <si>
    <t xml:space="preserve">f :  </t>
  </si>
  <si>
    <t xml:space="preserve">V :  </t>
  </si>
  <si>
    <t xml:space="preserve">H :  </t>
  </si>
  <si>
    <t>水平力の合計 (kN/m)</t>
  </si>
  <si>
    <t xml:space="preserve">τo :  </t>
  </si>
  <si>
    <t>せん断応力度(基礎地盤せん断応力度とコンクリートせん断応力度を比べ</t>
  </si>
  <si>
    <r>
      <t>小さい値。ただし、砂礫地盤ではせん断応力度を無視する。)(kN/m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</si>
  <si>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L :  </t>
  </si>
  <si>
    <t>せん断抵抗を期待できる長さ (=堤底幅b2)(m)</t>
  </si>
  <si>
    <t>x</t>
  </si>
  <si>
    <t>b2</t>
  </si>
  <si>
    <t>σu ＝　</t>
  </si>
  <si>
    <t>V</t>
  </si>
  <si>
    <t>-</t>
  </si>
  <si>
    <t>b2</t>
  </si>
  <si>
    <t>＝　</t>
  </si>
  <si>
    <r>
      <t>kN/m</t>
    </r>
    <r>
      <rPr>
        <vertAlign val="superscript"/>
        <sz val="10"/>
        <rFont val="ＭＳ 明朝"/>
        <family val="1"/>
      </rPr>
      <t>2</t>
    </r>
  </si>
  <si>
    <t>σd ＝　</t>
  </si>
  <si>
    <t>V</t>
  </si>
  <si>
    <t>b2</t>
  </si>
  <si>
    <t>＝　</t>
  </si>
  <si>
    <t xml:space="preserve">σu  :  </t>
  </si>
  <si>
    <r>
      <t>上流端応力 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</si>
  <si>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 xml:space="preserve">σd  :  </t>
  </si>
  <si>
    <r>
      <t>下流端応力 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</si>
  <si>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荷重の合力作用線と堤底との交点から堤底中央までの距離 (m)</t>
  </si>
  <si>
    <t>σmax</t>
  </si>
  <si>
    <t>=</t>
  </si>
  <si>
    <t xml:space="preserve">δa = </t>
  </si>
  <si>
    <t>基礎地盤</t>
  </si>
  <si>
    <t xml:space="preserve">σa = </t>
  </si>
  <si>
    <t>堤体内部破壊</t>
  </si>
  <si>
    <t>σmin</t>
  </si>
  <si>
    <t>転倒に対する安定</t>
  </si>
  <si>
    <t>作用点</t>
  </si>
  <si>
    <t>滑動に対する安定</t>
  </si>
  <si>
    <t>安全率</t>
  </si>
  <si>
    <t>x</t>
  </si>
  <si>
    <t>b2</t>
  </si>
  <si>
    <t>n</t>
  </si>
  <si>
    <t>f・V+τo･L</t>
  </si>
  <si>
    <t>H</t>
  </si>
  <si>
    <r>
      <t>kN/m</t>
    </r>
    <r>
      <rPr>
        <vertAlign val="superscript"/>
        <sz val="10"/>
        <rFont val="ＭＳ 明朝"/>
        <family val="1"/>
      </rPr>
      <t>2</t>
    </r>
  </si>
  <si>
    <t>σmax</t>
  </si>
  <si>
    <t>σmin</t>
  </si>
  <si>
    <t>PV3</t>
  </si>
  <si>
    <t xml:space="preserve">W2   </t>
  </si>
  <si>
    <t>W3</t>
  </si>
  <si>
    <t>　W4</t>
  </si>
  <si>
    <t>W3</t>
  </si>
  <si>
    <t>W4</t>
  </si>
  <si>
    <t>PV3</t>
  </si>
  <si>
    <t>W1</t>
  </si>
  <si>
    <t>W2</t>
  </si>
  <si>
    <t>×</t>
  </si>
  <si>
    <t>×</t>
  </si>
  <si>
    <t>h2=</t>
  </si>
  <si>
    <t>h4=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</si>
</sst>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1:&quot;0.00"/>
    <numFmt numFmtId="181" formatCode="0.000000"/>
    <numFmt numFmtId="182" formatCode="0.00_);[Red]\(0.00\)"/>
    <numFmt numFmtId="183" formatCode="#,##0.0;[Red]\-#,##0.0"/>
    <numFmt numFmtId="184" formatCode="#,##0.000;[Red]\-#,##0.000"/>
    <numFmt numFmtId="185" formatCode="0.0_ "/>
    <numFmt numFmtId="186" formatCode="0.00_ ;[Red]\-0.00\ "/>
    <numFmt numFmtId="187" formatCode="0.00_ "/>
    <numFmt numFmtId="188" formatCode="#,##0.00_ ;[Red]\-#,##0.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vertAlign val="subscript"/>
      <sz val="10"/>
      <name val="ＭＳ 明朝"/>
      <family val="1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80" fontId="7" fillId="0" borderId="10" xfId="0" applyNumberFormat="1" applyFont="1" applyBorder="1" applyAlignment="1">
      <alignment horizontal="right" vertical="center" textRotation="90"/>
    </xf>
    <xf numFmtId="180" fontId="7" fillId="0" borderId="12" xfId="0" applyNumberFormat="1" applyFont="1" applyBorder="1" applyAlignment="1">
      <alignment horizontal="right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38" fontId="7" fillId="0" borderId="0" xfId="49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38" fontId="7" fillId="0" borderId="0" xfId="49" applyFont="1" applyAlignment="1" applyProtection="1">
      <alignment horizontal="center"/>
      <protection locked="0"/>
    </xf>
    <xf numFmtId="179" fontId="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23" xfId="0" applyFont="1" applyBorder="1" applyAlignment="1" applyProtection="1">
      <alignment horizontal="center" shrinkToFit="1"/>
      <protection locked="0"/>
    </xf>
    <xf numFmtId="0" fontId="7" fillId="0" borderId="25" xfId="0" applyFont="1" applyBorder="1" applyAlignment="1" applyProtection="1">
      <alignment horizontal="center" shrinkToFit="1"/>
      <protection locked="0"/>
    </xf>
    <xf numFmtId="0" fontId="7" fillId="0" borderId="26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26" xfId="0" applyFont="1" applyBorder="1" applyAlignment="1" applyProtection="1">
      <alignment horizontal="center" shrinkToFit="1"/>
      <protection locked="0"/>
    </xf>
    <xf numFmtId="0" fontId="7" fillId="0" borderId="27" xfId="0" applyFont="1" applyBorder="1" applyAlignment="1" applyProtection="1">
      <alignment horizontal="center" shrinkToFit="1"/>
      <protection locked="0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7" fillId="0" borderId="30" xfId="0" applyFont="1" applyBorder="1" applyAlignment="1" applyProtection="1">
      <alignment horizontal="right" shrinkToFit="1"/>
      <protection locked="0"/>
    </xf>
    <xf numFmtId="40" fontId="7" fillId="0" borderId="29" xfId="49" applyNumberFormat="1" applyFont="1" applyBorder="1" applyAlignment="1">
      <alignment horizontal="center" shrinkToFit="1"/>
    </xf>
    <xf numFmtId="40" fontId="7" fillId="0" borderId="31" xfId="49" applyNumberFormat="1" applyFont="1" applyBorder="1" applyAlignment="1">
      <alignment horizontal="center" shrinkToFit="1"/>
    </xf>
    <xf numFmtId="0" fontId="7" fillId="0" borderId="10" xfId="0" applyFont="1" applyBorder="1" applyAlignment="1" applyProtection="1">
      <alignment horizontal="center" shrinkToFit="1"/>
      <protection locked="0"/>
    </xf>
    <xf numFmtId="0" fontId="7" fillId="0" borderId="26" xfId="0" applyFont="1" applyBorder="1" applyAlignment="1" applyProtection="1">
      <alignment shrinkToFit="1"/>
      <protection locked="0"/>
    </xf>
    <xf numFmtId="2" fontId="7" fillId="0" borderId="0" xfId="0" applyNumberFormat="1" applyFont="1" applyBorder="1" applyAlignment="1" applyProtection="1">
      <alignment shrinkToFit="1"/>
      <protection locked="0"/>
    </xf>
    <xf numFmtId="40" fontId="7" fillId="0" borderId="26" xfId="49" applyNumberFormat="1" applyFont="1" applyBorder="1" applyAlignment="1">
      <alignment horizontal="center" shrinkToFit="1"/>
    </xf>
    <xf numFmtId="40" fontId="7" fillId="0" borderId="27" xfId="49" applyNumberFormat="1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9" fillId="0" borderId="34" xfId="0" applyFont="1" applyBorder="1" applyAlignment="1" applyProtection="1">
      <alignment horizontal="right" shrinkToFit="1"/>
      <protection locked="0"/>
    </xf>
    <xf numFmtId="40" fontId="7" fillId="0" borderId="33" xfId="49" applyNumberFormat="1" applyFont="1" applyBorder="1" applyAlignment="1" applyProtection="1">
      <alignment horizontal="right" shrinkToFit="1"/>
      <protection locked="0"/>
    </xf>
    <xf numFmtId="40" fontId="7" fillId="0" borderId="35" xfId="49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33" xfId="0" applyNumberFormat="1" applyFont="1" applyBorder="1" applyAlignment="1" applyProtection="1">
      <alignment horizontal="center" shrinkToFit="1"/>
      <protection locked="0"/>
    </xf>
    <xf numFmtId="2" fontId="7" fillId="0" borderId="0" xfId="0" applyNumberFormat="1" applyFont="1" applyBorder="1" applyAlignment="1" applyProtection="1">
      <alignment horizontal="center" shrinkToFit="1"/>
      <protection locked="0"/>
    </xf>
    <xf numFmtId="188" fontId="7" fillId="0" borderId="26" xfId="49" applyNumberFormat="1" applyFont="1" applyBorder="1" applyAlignment="1" applyProtection="1">
      <alignment horizontal="right" shrinkToFit="1"/>
      <protection locked="0"/>
    </xf>
    <xf numFmtId="2" fontId="7" fillId="0" borderId="0" xfId="0" applyNumberFormat="1" applyFont="1" applyBorder="1" applyAlignment="1">
      <alignment shrinkToFit="1"/>
    </xf>
    <xf numFmtId="2" fontId="7" fillId="0" borderId="0" xfId="0" applyNumberFormat="1" applyFont="1" applyBorder="1" applyAlignment="1" applyProtection="1">
      <alignment horizontal="right" shrinkToFit="1"/>
      <protection locked="0"/>
    </xf>
    <xf numFmtId="188" fontId="7" fillId="0" borderId="27" xfId="49" applyNumberFormat="1" applyFont="1" applyBorder="1" applyAlignment="1" applyProtection="1">
      <alignment horizontal="right" shrinkToFit="1"/>
      <protection locked="0"/>
    </xf>
    <xf numFmtId="188" fontId="7" fillId="0" borderId="33" xfId="49" applyNumberFormat="1" applyFont="1" applyBorder="1" applyAlignment="1" applyProtection="1">
      <alignment horizontal="right" shrinkToFit="1"/>
      <protection locked="0"/>
    </xf>
    <xf numFmtId="2" fontId="7" fillId="0" borderId="34" xfId="0" applyNumberFormat="1" applyFont="1" applyBorder="1" applyAlignment="1" applyProtection="1">
      <alignment horizontal="right" shrinkToFit="1"/>
      <protection locked="0"/>
    </xf>
    <xf numFmtId="188" fontId="7" fillId="0" borderId="35" xfId="49" applyNumberFormat="1" applyFont="1" applyBorder="1" applyAlignment="1" applyProtection="1">
      <alignment horizontal="right" shrinkToFit="1"/>
      <protection locked="0"/>
    </xf>
    <xf numFmtId="2" fontId="7" fillId="0" borderId="26" xfId="0" applyNumberFormat="1" applyFont="1" applyBorder="1" applyAlignment="1" applyProtection="1">
      <alignment shrinkToFit="1"/>
      <protection locked="0"/>
    </xf>
    <xf numFmtId="1" fontId="7" fillId="0" borderId="34" xfId="0" applyNumberFormat="1" applyFont="1" applyBorder="1" applyAlignment="1" applyProtection="1">
      <alignment horizontal="center" shrinkToFit="1"/>
      <protection locked="0"/>
    </xf>
    <xf numFmtId="2" fontId="7" fillId="0" borderId="33" xfId="0" applyNumberFormat="1" applyFont="1" applyBorder="1" applyAlignment="1">
      <alignment shrinkToFit="1"/>
    </xf>
    <xf numFmtId="2" fontId="7" fillId="0" borderId="34" xfId="0" applyNumberFormat="1" applyFont="1" applyBorder="1" applyAlignment="1">
      <alignment shrinkToFit="1"/>
    </xf>
    <xf numFmtId="2" fontId="7" fillId="0" borderId="0" xfId="0" applyNumberFormat="1" applyFont="1" applyBorder="1" applyAlignment="1">
      <alignment horizontal="center" shrinkToFit="1"/>
    </xf>
    <xf numFmtId="1" fontId="9" fillId="0" borderId="34" xfId="0" applyNumberFormat="1" applyFont="1" applyBorder="1" applyAlignment="1" applyProtection="1">
      <alignment horizontal="right" shrinkToFit="1"/>
      <protection locked="0"/>
    </xf>
    <xf numFmtId="188" fontId="7" fillId="0" borderId="33" xfId="49" applyNumberFormat="1" applyFont="1" applyBorder="1" applyAlignment="1">
      <alignment horizontal="center" shrinkToFit="1"/>
    </xf>
    <xf numFmtId="188" fontId="7" fillId="0" borderId="35" xfId="49" applyNumberFormat="1" applyFont="1" applyBorder="1" applyAlignment="1">
      <alignment horizontal="center" shrinkToFit="1"/>
    </xf>
    <xf numFmtId="188" fontId="7" fillId="0" borderId="26" xfId="49" applyNumberFormat="1" applyFont="1" applyBorder="1" applyAlignment="1">
      <alignment horizontal="center" shrinkToFit="1"/>
    </xf>
    <xf numFmtId="188" fontId="7" fillId="0" borderId="27" xfId="49" applyNumberFormat="1" applyFont="1" applyBorder="1" applyAlignment="1">
      <alignment horizontal="center" shrinkToFit="1"/>
    </xf>
    <xf numFmtId="2" fontId="7" fillId="0" borderId="26" xfId="0" applyNumberFormat="1" applyFont="1" applyBorder="1" applyAlignment="1">
      <alignment shrinkToFit="1"/>
    </xf>
    <xf numFmtId="40" fontId="7" fillId="0" borderId="35" xfId="49" applyNumberFormat="1" applyFont="1" applyBorder="1" applyAlignment="1">
      <alignment shrinkToFit="1"/>
    </xf>
    <xf numFmtId="0" fontId="7" fillId="0" borderId="36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2" fontId="7" fillId="0" borderId="37" xfId="0" applyNumberFormat="1" applyFont="1" applyBorder="1" applyAlignment="1">
      <alignment shrinkToFit="1"/>
    </xf>
    <xf numFmtId="2" fontId="7" fillId="0" borderId="38" xfId="0" applyNumberFormat="1" applyFont="1" applyBorder="1" applyAlignment="1">
      <alignment shrinkToFit="1"/>
    </xf>
    <xf numFmtId="0" fontId="7" fillId="0" borderId="38" xfId="0" applyFont="1" applyBorder="1" applyAlignment="1">
      <alignment horizontal="center" shrinkToFit="1"/>
    </xf>
    <xf numFmtId="40" fontId="7" fillId="0" borderId="37" xfId="49" applyNumberFormat="1" applyFont="1" applyBorder="1" applyAlignment="1" applyProtection="1">
      <alignment horizontal="right" shrinkToFit="1"/>
      <protection locked="0"/>
    </xf>
    <xf numFmtId="40" fontId="7" fillId="0" borderId="39" xfId="49" applyNumberFormat="1" applyFont="1" applyBorder="1" applyAlignment="1">
      <alignment shrinkToFit="1"/>
    </xf>
    <xf numFmtId="40" fontId="7" fillId="0" borderId="0" xfId="49" applyNumberFormat="1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distributed" shrinkToFit="1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38" fontId="13" fillId="0" borderId="0" xfId="49" applyFont="1" applyAlignment="1" applyProtection="1" quotePrefix="1">
      <alignment horizontal="center"/>
      <protection locked="0"/>
    </xf>
    <xf numFmtId="38" fontId="13" fillId="0" borderId="0" xfId="49" applyFont="1" applyAlignment="1" applyProtection="1">
      <alignment horizontal="center"/>
      <protection locked="0"/>
    </xf>
    <xf numFmtId="2" fontId="7" fillId="0" borderId="2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 applyProtection="1">
      <alignment horizontal="center"/>
      <protection locked="0"/>
    </xf>
    <xf numFmtId="178" fontId="7" fillId="0" borderId="0" xfId="0" applyNumberFormat="1" applyFont="1" applyAlignment="1">
      <alignment horizontal="center" vertical="center"/>
    </xf>
    <xf numFmtId="187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78" fontId="7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shrinkToFit="1"/>
      <protection locked="0"/>
    </xf>
    <xf numFmtId="2" fontId="7" fillId="0" borderId="0" xfId="0" applyNumberFormat="1" applyFont="1" applyAlignment="1" applyProtection="1">
      <alignment horizontal="center" vertical="center" shrinkToFit="1"/>
      <protection locked="0"/>
    </xf>
    <xf numFmtId="187" fontId="7" fillId="0" borderId="15" xfId="49" applyNumberFormat="1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17" xfId="0" applyFont="1" applyBorder="1" applyAlignment="1" applyProtection="1">
      <alignment horizontal="center" shrinkToFit="1"/>
      <protection locked="0"/>
    </xf>
    <xf numFmtId="187" fontId="7" fillId="0" borderId="0" xfId="49" applyNumberFormat="1" applyFont="1" applyBorder="1" applyAlignment="1" applyProtection="1">
      <alignment horizontal="center" shrinkToFit="1"/>
      <protection locked="0"/>
    </xf>
    <xf numFmtId="0" fontId="7" fillId="0" borderId="15" xfId="0" applyFont="1" applyBorder="1" applyAlignment="1">
      <alignment horizontal="center" shrinkToFit="1"/>
    </xf>
    <xf numFmtId="178" fontId="7" fillId="0" borderId="0" xfId="0" applyNumberFormat="1" applyFont="1" applyAlignment="1">
      <alignment horizontal="center" vertical="center" shrinkToFit="1"/>
    </xf>
    <xf numFmtId="2" fontId="7" fillId="0" borderId="15" xfId="0" applyNumberFormat="1" applyFont="1" applyBorder="1" applyAlignment="1">
      <alignment horizontal="center" shrinkToFit="1"/>
    </xf>
    <xf numFmtId="2" fontId="7" fillId="0" borderId="0" xfId="0" applyNumberFormat="1" applyFont="1" applyAlignment="1">
      <alignment horizontal="center" vertical="center" shrinkToFit="1"/>
    </xf>
    <xf numFmtId="2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38" fontId="7" fillId="0" borderId="15" xfId="0" applyNumberFormat="1" applyFont="1" applyBorder="1" applyAlignment="1">
      <alignment horizontal="center" shrinkToFit="1"/>
    </xf>
    <xf numFmtId="179" fontId="7" fillId="0" borderId="0" xfId="0" applyNumberFormat="1" applyFont="1" applyAlignment="1">
      <alignment horizontal="center" shrinkToFit="1"/>
    </xf>
    <xf numFmtId="2" fontId="7" fillId="0" borderId="0" xfId="0" applyNumberFormat="1" applyFont="1" applyAlignment="1" applyProtection="1">
      <alignment horizontal="center" shrinkToFit="1"/>
      <protection locked="0"/>
    </xf>
    <xf numFmtId="2" fontId="7" fillId="0" borderId="0" xfId="0" applyNumberFormat="1" applyFont="1" applyAlignment="1">
      <alignment horizontal="center" shrinkToFit="1"/>
    </xf>
    <xf numFmtId="187" fontId="7" fillId="0" borderId="0" xfId="0" applyNumberFormat="1" applyFont="1" applyAlignment="1" applyProtection="1">
      <alignment horizontal="center" shrinkToFit="1"/>
      <protection locked="0"/>
    </xf>
    <xf numFmtId="38" fontId="7" fillId="0" borderId="0" xfId="0" applyNumberFormat="1" applyFont="1" applyAlignment="1">
      <alignment horizontal="center" shrinkToFit="1"/>
    </xf>
    <xf numFmtId="180" fontId="7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left"/>
    </xf>
    <xf numFmtId="38" fontId="7" fillId="0" borderId="0" xfId="49" applyFont="1" applyAlignment="1" applyProtection="1" quotePrefix="1">
      <alignment horizontal="center"/>
      <protection locked="0"/>
    </xf>
    <xf numFmtId="38" fontId="7" fillId="0" borderId="22" xfId="49" applyFont="1" applyBorder="1" applyAlignment="1">
      <alignment horizontal="center" vertical="center"/>
    </xf>
    <xf numFmtId="178" fontId="7" fillId="0" borderId="0" xfId="0" applyNumberFormat="1" applyFont="1" applyAlignment="1" applyProtection="1">
      <alignment horizontal="center" vertical="center" shrinkToFit="1"/>
      <protection locked="0"/>
    </xf>
    <xf numFmtId="178" fontId="7" fillId="0" borderId="0" xfId="0" applyNumberFormat="1" applyFont="1" applyAlignment="1">
      <alignment horizontal="left"/>
    </xf>
    <xf numFmtId="2" fontId="7" fillId="0" borderId="4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  <xf numFmtId="38" fontId="7" fillId="0" borderId="44" xfId="49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0" xfId="0" applyFont="1" applyAlignment="1">
      <alignment/>
    </xf>
    <xf numFmtId="0" fontId="7" fillId="0" borderId="48" xfId="0" applyFont="1" applyBorder="1" applyAlignment="1">
      <alignment horizontal="center"/>
    </xf>
    <xf numFmtId="38" fontId="7" fillId="0" borderId="0" xfId="49" applyFont="1" applyBorder="1" applyAlignment="1">
      <alignment horizontal="right"/>
    </xf>
    <xf numFmtId="0" fontId="7" fillId="0" borderId="49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80" fontId="13" fillId="0" borderId="0" xfId="0" applyNumberFormat="1" applyFont="1" applyAlignment="1">
      <alignment horizontal="center"/>
    </xf>
    <xf numFmtId="0" fontId="7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2" fontId="7" fillId="0" borderId="26" xfId="0" applyNumberFormat="1" applyFont="1" applyBorder="1" applyAlignment="1" applyProtection="1">
      <alignment horizontal="center" shrinkToFit="1"/>
      <protection locked="0"/>
    </xf>
    <xf numFmtId="2" fontId="7" fillId="0" borderId="34" xfId="0" applyNumberFormat="1" applyFont="1" applyBorder="1" applyAlignment="1">
      <alignment horizontal="center" shrinkToFit="1"/>
    </xf>
    <xf numFmtId="2" fontId="7" fillId="0" borderId="34" xfId="0" applyNumberFormat="1" applyFont="1" applyBorder="1" applyAlignment="1">
      <alignment horizontal="center" vertical="center" shrinkToFit="1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vertical="center" textRotation="90"/>
    </xf>
    <xf numFmtId="0" fontId="7" fillId="0" borderId="5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textRotation="90"/>
    </xf>
    <xf numFmtId="180" fontId="7" fillId="0" borderId="12" xfId="0" applyNumberFormat="1" applyFont="1" applyBorder="1" applyAlignment="1">
      <alignment horizontal="right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right" vertical="center" textRotation="90"/>
    </xf>
    <xf numFmtId="180" fontId="7" fillId="0" borderId="0" xfId="0" applyNumberFormat="1" applyFont="1" applyBorder="1" applyAlignment="1">
      <alignment horizontal="left" vertical="center" textRotation="9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7" fillId="0" borderId="65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2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2" fontId="7" fillId="0" borderId="17" xfId="0" applyNumberFormat="1" applyFont="1" applyBorder="1" applyAlignment="1">
      <alignment horizontal="center" shrinkToFit="1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horizontal="center" shrinkToFit="1"/>
    </xf>
    <xf numFmtId="2" fontId="7" fillId="0" borderId="0" xfId="0" applyNumberFormat="1" applyFont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40" fontId="7" fillId="0" borderId="17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1362075" y="156210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16</xdr:row>
      <xdr:rowOff>0</xdr:rowOff>
    </xdr:to>
    <xdr:sp>
      <xdr:nvSpPr>
        <xdr:cNvPr id="2" name="Line 17"/>
        <xdr:cNvSpPr>
          <a:spLocks/>
        </xdr:cNvSpPr>
      </xdr:nvSpPr>
      <xdr:spPr>
        <a:xfrm flipH="1">
          <a:off x="1162050" y="156210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12</xdr:row>
      <xdr:rowOff>0</xdr:rowOff>
    </xdr:to>
    <xdr:sp>
      <xdr:nvSpPr>
        <xdr:cNvPr id="3" name="Line 18"/>
        <xdr:cNvSpPr>
          <a:spLocks/>
        </xdr:cNvSpPr>
      </xdr:nvSpPr>
      <xdr:spPr>
        <a:xfrm>
          <a:off x="2019300" y="1562100"/>
          <a:ext cx="20002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" name="Line 19"/>
        <xdr:cNvSpPr>
          <a:spLocks/>
        </xdr:cNvSpPr>
      </xdr:nvSpPr>
      <xdr:spPr>
        <a:xfrm>
          <a:off x="1162050" y="2695575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2</xdr:col>
      <xdr:colOff>0</xdr:colOff>
      <xdr:row>18</xdr:row>
      <xdr:rowOff>47625</xdr:rowOff>
    </xdr:to>
    <xdr:sp>
      <xdr:nvSpPr>
        <xdr:cNvPr id="5" name="Line 20"/>
        <xdr:cNvSpPr>
          <a:spLocks/>
        </xdr:cNvSpPr>
      </xdr:nvSpPr>
      <xdr:spPr>
        <a:xfrm>
          <a:off x="1162050" y="2733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18</xdr:row>
      <xdr:rowOff>57150</xdr:rowOff>
    </xdr:to>
    <xdr:sp>
      <xdr:nvSpPr>
        <xdr:cNvPr id="6" name="Line 21"/>
        <xdr:cNvSpPr>
          <a:spLocks/>
        </xdr:cNvSpPr>
      </xdr:nvSpPr>
      <xdr:spPr>
        <a:xfrm>
          <a:off x="2219325" y="2724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0</xdr:rowOff>
    </xdr:from>
    <xdr:to>
      <xdr:col>3</xdr:col>
      <xdr:colOff>409575</xdr:colOff>
      <xdr:row>16</xdr:row>
      <xdr:rowOff>0</xdr:rowOff>
    </xdr:to>
    <xdr:sp>
      <xdr:nvSpPr>
        <xdr:cNvPr id="7" name="Line 22"/>
        <xdr:cNvSpPr>
          <a:spLocks/>
        </xdr:cNvSpPr>
      </xdr:nvSpPr>
      <xdr:spPr>
        <a:xfrm>
          <a:off x="1771650" y="15621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" name="Line 24"/>
        <xdr:cNvSpPr>
          <a:spLocks/>
        </xdr:cNvSpPr>
      </xdr:nvSpPr>
      <xdr:spPr>
        <a:xfrm>
          <a:off x="1162050" y="296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" name="Line 25"/>
        <xdr:cNvSpPr>
          <a:spLocks/>
        </xdr:cNvSpPr>
      </xdr:nvSpPr>
      <xdr:spPr>
        <a:xfrm>
          <a:off x="1362075" y="1238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0</xdr:rowOff>
    </xdr:from>
    <xdr:to>
      <xdr:col>2</xdr:col>
      <xdr:colOff>200025</xdr:colOff>
      <xdr:row>9</xdr:row>
      <xdr:rowOff>133350</xdr:rowOff>
    </xdr:to>
    <xdr:sp>
      <xdr:nvSpPr>
        <xdr:cNvPr id="10" name="Arc 45"/>
        <xdr:cNvSpPr>
          <a:spLocks/>
        </xdr:cNvSpPr>
      </xdr:nvSpPr>
      <xdr:spPr>
        <a:xfrm flipH="1">
          <a:off x="1085850" y="1238250"/>
          <a:ext cx="276225" cy="457200"/>
        </a:xfrm>
        <a:custGeom>
          <a:pathLst>
            <a:path fill="none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</a:path>
            <a:path stroke="0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9</xdr:row>
      <xdr:rowOff>19050</xdr:rowOff>
    </xdr:from>
    <xdr:to>
      <xdr:col>2</xdr:col>
      <xdr:colOff>200025</xdr:colOff>
      <xdr:row>10</xdr:row>
      <xdr:rowOff>38100</xdr:rowOff>
    </xdr:to>
    <xdr:sp>
      <xdr:nvSpPr>
        <xdr:cNvPr id="11" name="Freeform 46"/>
        <xdr:cNvSpPr>
          <a:spLocks/>
        </xdr:cNvSpPr>
      </xdr:nvSpPr>
      <xdr:spPr>
        <a:xfrm>
          <a:off x="1066800" y="1581150"/>
          <a:ext cx="295275" cy="180975"/>
        </a:xfrm>
        <a:custGeom>
          <a:pathLst>
            <a:path h="20" w="35">
              <a:moveTo>
                <a:pt x="2" y="0"/>
              </a:moveTo>
              <a:cubicBezTo>
                <a:pt x="1" y="6"/>
                <a:pt x="0" y="12"/>
                <a:pt x="1" y="15"/>
              </a:cubicBezTo>
              <a:cubicBezTo>
                <a:pt x="2" y="18"/>
                <a:pt x="3" y="20"/>
                <a:pt x="9" y="20"/>
              </a:cubicBezTo>
              <a:cubicBezTo>
                <a:pt x="15" y="20"/>
                <a:pt x="31" y="14"/>
                <a:pt x="35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2" name="Line 124"/>
        <xdr:cNvSpPr>
          <a:spLocks/>
        </xdr:cNvSpPr>
      </xdr:nvSpPr>
      <xdr:spPr>
        <a:xfrm>
          <a:off x="3781425" y="156210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16</xdr:row>
      <xdr:rowOff>0</xdr:rowOff>
    </xdr:to>
    <xdr:sp>
      <xdr:nvSpPr>
        <xdr:cNvPr id="13" name="Line 125"/>
        <xdr:cNvSpPr>
          <a:spLocks/>
        </xdr:cNvSpPr>
      </xdr:nvSpPr>
      <xdr:spPr>
        <a:xfrm flipH="1">
          <a:off x="3581400" y="1562100"/>
          <a:ext cx="200025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4" name="Line 127"/>
        <xdr:cNvSpPr>
          <a:spLocks/>
        </xdr:cNvSpPr>
      </xdr:nvSpPr>
      <xdr:spPr>
        <a:xfrm>
          <a:off x="3581400" y="2695575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38100</xdr:rowOff>
    </xdr:from>
    <xdr:to>
      <xdr:col>8</xdr:col>
      <xdr:colOff>0</xdr:colOff>
      <xdr:row>18</xdr:row>
      <xdr:rowOff>47625</xdr:rowOff>
    </xdr:to>
    <xdr:sp>
      <xdr:nvSpPr>
        <xdr:cNvPr id="15" name="Line 128"/>
        <xdr:cNvSpPr>
          <a:spLocks/>
        </xdr:cNvSpPr>
      </xdr:nvSpPr>
      <xdr:spPr>
        <a:xfrm>
          <a:off x="3581400" y="2733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28575</xdr:rowOff>
    </xdr:from>
    <xdr:to>
      <xdr:col>11</xdr:col>
      <xdr:colOff>0</xdr:colOff>
      <xdr:row>18</xdr:row>
      <xdr:rowOff>57150</xdr:rowOff>
    </xdr:to>
    <xdr:sp>
      <xdr:nvSpPr>
        <xdr:cNvPr id="16" name="Line 129"/>
        <xdr:cNvSpPr>
          <a:spLocks/>
        </xdr:cNvSpPr>
      </xdr:nvSpPr>
      <xdr:spPr>
        <a:xfrm>
          <a:off x="4638675" y="2724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9</xdr:row>
      <xdr:rowOff>0</xdr:rowOff>
    </xdr:from>
    <xdr:to>
      <xdr:col>9</xdr:col>
      <xdr:colOff>409575</xdr:colOff>
      <xdr:row>16</xdr:row>
      <xdr:rowOff>0</xdr:rowOff>
    </xdr:to>
    <xdr:sp>
      <xdr:nvSpPr>
        <xdr:cNvPr id="17" name="Line 130"/>
        <xdr:cNvSpPr>
          <a:spLocks/>
        </xdr:cNvSpPr>
      </xdr:nvSpPr>
      <xdr:spPr>
        <a:xfrm>
          <a:off x="4191000" y="15621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8" name="Line 131"/>
        <xdr:cNvSpPr>
          <a:spLocks/>
        </xdr:cNvSpPr>
      </xdr:nvSpPr>
      <xdr:spPr>
        <a:xfrm>
          <a:off x="3581400" y="296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9" name="Line 132"/>
        <xdr:cNvSpPr>
          <a:spLocks/>
        </xdr:cNvSpPr>
      </xdr:nvSpPr>
      <xdr:spPr>
        <a:xfrm>
          <a:off x="3781425" y="1238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8</xdr:col>
      <xdr:colOff>200025</xdr:colOff>
      <xdr:row>9</xdr:row>
      <xdr:rowOff>133350</xdr:rowOff>
    </xdr:to>
    <xdr:sp>
      <xdr:nvSpPr>
        <xdr:cNvPr id="20" name="Arc 133"/>
        <xdr:cNvSpPr>
          <a:spLocks/>
        </xdr:cNvSpPr>
      </xdr:nvSpPr>
      <xdr:spPr>
        <a:xfrm flipH="1">
          <a:off x="3505200" y="1238250"/>
          <a:ext cx="276225" cy="457200"/>
        </a:xfrm>
        <a:custGeom>
          <a:pathLst>
            <a:path fill="none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</a:path>
            <a:path stroke="0" h="21600" w="20925">
              <a:moveTo>
                <a:pt x="-1" y="0"/>
              </a:moveTo>
              <a:cubicBezTo>
                <a:pt x="9866" y="0"/>
                <a:pt x="18478" y="6685"/>
                <a:pt x="20925" y="16242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9</xdr:row>
      <xdr:rowOff>19050</xdr:rowOff>
    </xdr:from>
    <xdr:to>
      <xdr:col>8</xdr:col>
      <xdr:colOff>200025</xdr:colOff>
      <xdr:row>10</xdr:row>
      <xdr:rowOff>38100</xdr:rowOff>
    </xdr:to>
    <xdr:sp>
      <xdr:nvSpPr>
        <xdr:cNvPr id="21" name="Freeform 134"/>
        <xdr:cNvSpPr>
          <a:spLocks/>
        </xdr:cNvSpPr>
      </xdr:nvSpPr>
      <xdr:spPr>
        <a:xfrm>
          <a:off x="3486150" y="1581150"/>
          <a:ext cx="295275" cy="180975"/>
        </a:xfrm>
        <a:custGeom>
          <a:pathLst>
            <a:path h="20" w="35">
              <a:moveTo>
                <a:pt x="2" y="0"/>
              </a:moveTo>
              <a:cubicBezTo>
                <a:pt x="1" y="6"/>
                <a:pt x="0" y="12"/>
                <a:pt x="1" y="15"/>
              </a:cubicBezTo>
              <a:cubicBezTo>
                <a:pt x="2" y="18"/>
                <a:pt x="3" y="20"/>
                <a:pt x="9" y="20"/>
              </a:cubicBezTo>
              <a:cubicBezTo>
                <a:pt x="15" y="20"/>
                <a:pt x="31" y="14"/>
                <a:pt x="35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161925</xdr:rowOff>
    </xdr:from>
    <xdr:to>
      <xdr:col>4</xdr:col>
      <xdr:colOff>200025</xdr:colOff>
      <xdr:row>16</xdr:row>
      <xdr:rowOff>0</xdr:rowOff>
    </xdr:to>
    <xdr:sp>
      <xdr:nvSpPr>
        <xdr:cNvPr id="22" name="直線コネクタ 2"/>
        <xdr:cNvSpPr>
          <a:spLocks/>
        </xdr:cNvSpPr>
      </xdr:nvSpPr>
      <xdr:spPr>
        <a:xfrm>
          <a:off x="2219325" y="2047875"/>
          <a:ext cx="0" cy="6477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12</xdr:row>
      <xdr:rowOff>0</xdr:rowOff>
    </xdr:to>
    <xdr:sp>
      <xdr:nvSpPr>
        <xdr:cNvPr id="23" name="Line 18"/>
        <xdr:cNvSpPr>
          <a:spLocks/>
        </xdr:cNvSpPr>
      </xdr:nvSpPr>
      <xdr:spPr>
        <a:xfrm>
          <a:off x="4438650" y="1562100"/>
          <a:ext cx="20002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11</xdr:row>
      <xdr:rowOff>161925</xdr:rowOff>
    </xdr:from>
    <xdr:to>
      <xdr:col>10</xdr:col>
      <xdr:colOff>200025</xdr:colOff>
      <xdr:row>16</xdr:row>
      <xdr:rowOff>0</xdr:rowOff>
    </xdr:to>
    <xdr:sp>
      <xdr:nvSpPr>
        <xdr:cNvPr id="24" name="直線コネクタ 27"/>
        <xdr:cNvSpPr>
          <a:spLocks/>
        </xdr:cNvSpPr>
      </xdr:nvSpPr>
      <xdr:spPr>
        <a:xfrm>
          <a:off x="4638675" y="2047875"/>
          <a:ext cx="0" cy="6477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95550" y="93345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9334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24025" y="1905000"/>
          <a:ext cx="7715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4657725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866775</xdr:colOff>
      <xdr:row>10</xdr:row>
      <xdr:rowOff>161925</xdr:rowOff>
    </xdr:from>
    <xdr:to>
      <xdr:col>8</xdr:col>
      <xdr:colOff>657225</xdr:colOff>
      <xdr:row>19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3362325" y="1905000"/>
          <a:ext cx="657225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495550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4019550" y="933450"/>
          <a:ext cx="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343400" y="1905000"/>
          <a:ext cx="523875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4343400" y="1905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362325" y="1905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4019550" y="933450"/>
          <a:ext cx="323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>
          <a:off x="249555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3362325" y="93345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6300" y="9334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6300" y="1905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76300" y="4657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906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90600" y="9334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1724025" y="47148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2495550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4019550" y="48768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5362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>
          <a:off x="2495550" y="5362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3362325" y="5362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1724025" y="58007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7</xdr:col>
      <xdr:colOff>438150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2933700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28575</xdr:rowOff>
    </xdr:from>
    <xdr:to>
      <xdr:col>7</xdr:col>
      <xdr:colOff>428625</xdr:colOff>
      <xdr:row>21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2924175" y="30670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38100</xdr:rowOff>
    </xdr:from>
    <xdr:to>
      <xdr:col>5</xdr:col>
      <xdr:colOff>447675</xdr:colOff>
      <xdr:row>27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2171700" y="40481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13</xdr:row>
      <xdr:rowOff>66675</xdr:rowOff>
    </xdr:from>
    <xdr:to>
      <xdr:col>8</xdr:col>
      <xdr:colOff>438150</xdr:colOff>
      <xdr:row>16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800475" y="22955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28575</xdr:rowOff>
    </xdr:from>
    <xdr:to>
      <xdr:col>8</xdr:col>
      <xdr:colOff>323850</xdr:colOff>
      <xdr:row>27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3686175" y="40386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4343400" y="303847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104775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4019550" y="2714625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5" name="Line 10"/>
        <xdr:cNvSpPr>
          <a:spLocks/>
        </xdr:cNvSpPr>
      </xdr:nvSpPr>
      <xdr:spPr>
        <a:xfrm flipH="1">
          <a:off x="3362325" y="3362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" name="Line 4"/>
        <xdr:cNvSpPr>
          <a:spLocks/>
        </xdr:cNvSpPr>
      </xdr:nvSpPr>
      <xdr:spPr>
        <a:xfrm>
          <a:off x="4019550" y="3362325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</xdr:row>
      <xdr:rowOff>0</xdr:rowOff>
    </xdr:from>
    <xdr:to>
      <xdr:col>8</xdr:col>
      <xdr:colOff>333375</xdr:colOff>
      <xdr:row>10</xdr:row>
      <xdr:rowOff>0</xdr:rowOff>
    </xdr:to>
    <xdr:sp>
      <xdr:nvSpPr>
        <xdr:cNvPr id="37" name="Line 28"/>
        <xdr:cNvSpPr>
          <a:spLocks/>
        </xdr:cNvSpPr>
      </xdr:nvSpPr>
      <xdr:spPr>
        <a:xfrm>
          <a:off x="3695700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0</xdr:rowOff>
    </xdr:from>
    <xdr:to>
      <xdr:col>8</xdr:col>
      <xdr:colOff>228600</xdr:colOff>
      <xdr:row>20</xdr:row>
      <xdr:rowOff>0</xdr:rowOff>
    </xdr:to>
    <xdr:sp>
      <xdr:nvSpPr>
        <xdr:cNvPr id="38" name="Line 29"/>
        <xdr:cNvSpPr>
          <a:spLocks/>
        </xdr:cNvSpPr>
      </xdr:nvSpPr>
      <xdr:spPr>
        <a:xfrm>
          <a:off x="3590925" y="28765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161925</xdr:rowOff>
    </xdr:from>
    <xdr:to>
      <xdr:col>13</xdr:col>
      <xdr:colOff>0</xdr:colOff>
      <xdr:row>28</xdr:row>
      <xdr:rowOff>28575</xdr:rowOff>
    </xdr:to>
    <xdr:sp>
      <xdr:nvSpPr>
        <xdr:cNvPr id="39" name="Line 18"/>
        <xdr:cNvSpPr>
          <a:spLocks/>
        </xdr:cNvSpPr>
      </xdr:nvSpPr>
      <xdr:spPr>
        <a:xfrm flipV="1">
          <a:off x="5800725" y="33623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20</xdr:row>
      <xdr:rowOff>0</xdr:rowOff>
    </xdr:to>
    <xdr:sp>
      <xdr:nvSpPr>
        <xdr:cNvPr id="40" name="Line 18"/>
        <xdr:cNvSpPr>
          <a:spLocks/>
        </xdr:cNvSpPr>
      </xdr:nvSpPr>
      <xdr:spPr>
        <a:xfrm flipV="1">
          <a:off x="5800725" y="1905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0</xdr:rowOff>
    </xdr:from>
    <xdr:to>
      <xdr:col>13</xdr:col>
      <xdr:colOff>47625</xdr:colOff>
      <xdr:row>11</xdr:row>
      <xdr:rowOff>0</xdr:rowOff>
    </xdr:to>
    <xdr:sp>
      <xdr:nvSpPr>
        <xdr:cNvPr id="41" name="Line 15"/>
        <xdr:cNvSpPr>
          <a:spLocks/>
        </xdr:cNvSpPr>
      </xdr:nvSpPr>
      <xdr:spPr>
        <a:xfrm flipH="1">
          <a:off x="4391025" y="19050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20</xdr:row>
      <xdr:rowOff>0</xdr:rowOff>
    </xdr:from>
    <xdr:to>
      <xdr:col>13</xdr:col>
      <xdr:colOff>66675</xdr:colOff>
      <xdr:row>20</xdr:row>
      <xdr:rowOff>0</xdr:rowOff>
    </xdr:to>
    <xdr:sp>
      <xdr:nvSpPr>
        <xdr:cNvPr id="42" name="Line 15"/>
        <xdr:cNvSpPr>
          <a:spLocks/>
        </xdr:cNvSpPr>
      </xdr:nvSpPr>
      <xdr:spPr>
        <a:xfrm flipH="1">
          <a:off x="4981575" y="33623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28</xdr:row>
      <xdr:rowOff>0</xdr:rowOff>
    </xdr:from>
    <xdr:to>
      <xdr:col>13</xdr:col>
      <xdr:colOff>85725</xdr:colOff>
      <xdr:row>28</xdr:row>
      <xdr:rowOff>0</xdr:rowOff>
    </xdr:to>
    <xdr:sp>
      <xdr:nvSpPr>
        <xdr:cNvPr id="43" name="Line 15"/>
        <xdr:cNvSpPr>
          <a:spLocks/>
        </xdr:cNvSpPr>
      </xdr:nvSpPr>
      <xdr:spPr>
        <a:xfrm flipH="1">
          <a:off x="4067175" y="4657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27</xdr:row>
      <xdr:rowOff>104775</xdr:rowOff>
    </xdr:from>
    <xdr:to>
      <xdr:col>9</xdr:col>
      <xdr:colOff>47625</xdr:colOff>
      <xdr:row>28</xdr:row>
      <xdr:rowOff>38100</xdr:rowOff>
    </xdr:to>
    <xdr:sp>
      <xdr:nvSpPr>
        <xdr:cNvPr id="44" name="フローチャート : 結合子 1"/>
        <xdr:cNvSpPr>
          <a:spLocks/>
        </xdr:cNvSpPr>
      </xdr:nvSpPr>
      <xdr:spPr>
        <a:xfrm>
          <a:off x="3962400" y="4600575"/>
          <a:ext cx="104775" cy="952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95550" y="933450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95550" y="933450"/>
          <a:ext cx="152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24025" y="1905000"/>
          <a:ext cx="77152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" y="4657725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866775</xdr:colOff>
      <xdr:row>10</xdr:row>
      <xdr:rowOff>161925</xdr:rowOff>
    </xdr:from>
    <xdr:to>
      <xdr:col>8</xdr:col>
      <xdr:colOff>657225</xdr:colOff>
      <xdr:row>19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3362325" y="1905000"/>
          <a:ext cx="657225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495550" y="1905000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4019550" y="933450"/>
          <a:ext cx="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343400" y="1905000"/>
          <a:ext cx="523875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4343400" y="1905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362325" y="1905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4019550" y="933450"/>
          <a:ext cx="3238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>
          <a:off x="249555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3362325" y="93345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19050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6300" y="9334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6300" y="1905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76300" y="4657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90600" y="1905000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90600" y="9334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38</xdr:row>
      <xdr:rowOff>0</xdr:rowOff>
    </xdr:to>
    <xdr:sp>
      <xdr:nvSpPr>
        <xdr:cNvPr id="20" name="Line 20"/>
        <xdr:cNvSpPr>
          <a:spLocks/>
        </xdr:cNvSpPr>
      </xdr:nvSpPr>
      <xdr:spPr>
        <a:xfrm>
          <a:off x="1724025" y="47148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2495550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4714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4019550" y="48768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5362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>
          <a:off x="2495550" y="5362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3362325" y="5362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1724025" y="58007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7</xdr:col>
      <xdr:colOff>438150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2933700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18</xdr:row>
      <xdr:rowOff>28575</xdr:rowOff>
    </xdr:from>
    <xdr:to>
      <xdr:col>7</xdr:col>
      <xdr:colOff>428625</xdr:colOff>
      <xdr:row>21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2924175" y="30670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38100</xdr:rowOff>
    </xdr:from>
    <xdr:to>
      <xdr:col>5</xdr:col>
      <xdr:colOff>447675</xdr:colOff>
      <xdr:row>27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2171700" y="40481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13</xdr:row>
      <xdr:rowOff>66675</xdr:rowOff>
    </xdr:from>
    <xdr:to>
      <xdr:col>8</xdr:col>
      <xdr:colOff>438150</xdr:colOff>
      <xdr:row>16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800475" y="22955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28575</xdr:rowOff>
    </xdr:from>
    <xdr:to>
      <xdr:col>8</xdr:col>
      <xdr:colOff>323850</xdr:colOff>
      <xdr:row>27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3686175" y="40386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4343400" y="3038475"/>
          <a:ext cx="5238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104775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4019550" y="2714625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5" name="Line 10"/>
        <xdr:cNvSpPr>
          <a:spLocks/>
        </xdr:cNvSpPr>
      </xdr:nvSpPr>
      <xdr:spPr>
        <a:xfrm flipH="1">
          <a:off x="3362325" y="3362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6" name="Line 4"/>
        <xdr:cNvSpPr>
          <a:spLocks/>
        </xdr:cNvSpPr>
      </xdr:nvSpPr>
      <xdr:spPr>
        <a:xfrm>
          <a:off x="4019550" y="3362325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</xdr:row>
      <xdr:rowOff>0</xdr:rowOff>
    </xdr:from>
    <xdr:to>
      <xdr:col>8</xdr:col>
      <xdr:colOff>333375</xdr:colOff>
      <xdr:row>10</xdr:row>
      <xdr:rowOff>0</xdr:rowOff>
    </xdr:to>
    <xdr:sp>
      <xdr:nvSpPr>
        <xdr:cNvPr id="37" name="Line 28"/>
        <xdr:cNvSpPr>
          <a:spLocks/>
        </xdr:cNvSpPr>
      </xdr:nvSpPr>
      <xdr:spPr>
        <a:xfrm>
          <a:off x="3695700" y="12573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0</xdr:rowOff>
    </xdr:from>
    <xdr:to>
      <xdr:col>8</xdr:col>
      <xdr:colOff>228600</xdr:colOff>
      <xdr:row>20</xdr:row>
      <xdr:rowOff>0</xdr:rowOff>
    </xdr:to>
    <xdr:sp>
      <xdr:nvSpPr>
        <xdr:cNvPr id="38" name="Line 29"/>
        <xdr:cNvSpPr>
          <a:spLocks/>
        </xdr:cNvSpPr>
      </xdr:nvSpPr>
      <xdr:spPr>
        <a:xfrm>
          <a:off x="3590925" y="28765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161925</xdr:rowOff>
    </xdr:from>
    <xdr:to>
      <xdr:col>13</xdr:col>
      <xdr:colOff>0</xdr:colOff>
      <xdr:row>28</xdr:row>
      <xdr:rowOff>28575</xdr:rowOff>
    </xdr:to>
    <xdr:sp>
      <xdr:nvSpPr>
        <xdr:cNvPr id="39" name="Line 18"/>
        <xdr:cNvSpPr>
          <a:spLocks/>
        </xdr:cNvSpPr>
      </xdr:nvSpPr>
      <xdr:spPr>
        <a:xfrm flipV="1">
          <a:off x="5800725" y="33623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20</xdr:row>
      <xdr:rowOff>0</xdr:rowOff>
    </xdr:to>
    <xdr:sp>
      <xdr:nvSpPr>
        <xdr:cNvPr id="40" name="Line 18"/>
        <xdr:cNvSpPr>
          <a:spLocks/>
        </xdr:cNvSpPr>
      </xdr:nvSpPr>
      <xdr:spPr>
        <a:xfrm flipV="1">
          <a:off x="5800725" y="19050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0</xdr:rowOff>
    </xdr:from>
    <xdr:to>
      <xdr:col>13</xdr:col>
      <xdr:colOff>47625</xdr:colOff>
      <xdr:row>11</xdr:row>
      <xdr:rowOff>0</xdr:rowOff>
    </xdr:to>
    <xdr:sp>
      <xdr:nvSpPr>
        <xdr:cNvPr id="41" name="Line 15"/>
        <xdr:cNvSpPr>
          <a:spLocks/>
        </xdr:cNvSpPr>
      </xdr:nvSpPr>
      <xdr:spPr>
        <a:xfrm flipH="1">
          <a:off x="4391025" y="19050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20</xdr:row>
      <xdr:rowOff>0</xdr:rowOff>
    </xdr:from>
    <xdr:to>
      <xdr:col>13</xdr:col>
      <xdr:colOff>66675</xdr:colOff>
      <xdr:row>20</xdr:row>
      <xdr:rowOff>0</xdr:rowOff>
    </xdr:to>
    <xdr:sp>
      <xdr:nvSpPr>
        <xdr:cNvPr id="42" name="Line 15"/>
        <xdr:cNvSpPr>
          <a:spLocks/>
        </xdr:cNvSpPr>
      </xdr:nvSpPr>
      <xdr:spPr>
        <a:xfrm flipH="1">
          <a:off x="4981575" y="33623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28</xdr:row>
      <xdr:rowOff>0</xdr:rowOff>
    </xdr:from>
    <xdr:to>
      <xdr:col>13</xdr:col>
      <xdr:colOff>85725</xdr:colOff>
      <xdr:row>28</xdr:row>
      <xdr:rowOff>0</xdr:rowOff>
    </xdr:to>
    <xdr:sp>
      <xdr:nvSpPr>
        <xdr:cNvPr id="43" name="Line 15"/>
        <xdr:cNvSpPr>
          <a:spLocks/>
        </xdr:cNvSpPr>
      </xdr:nvSpPr>
      <xdr:spPr>
        <a:xfrm flipH="1">
          <a:off x="4067175" y="4657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27</xdr:row>
      <xdr:rowOff>104775</xdr:rowOff>
    </xdr:from>
    <xdr:to>
      <xdr:col>9</xdr:col>
      <xdr:colOff>47625</xdr:colOff>
      <xdr:row>28</xdr:row>
      <xdr:rowOff>38100</xdr:rowOff>
    </xdr:to>
    <xdr:sp>
      <xdr:nvSpPr>
        <xdr:cNvPr id="44" name="フローチャート : 結合子 44"/>
        <xdr:cNvSpPr>
          <a:spLocks/>
        </xdr:cNvSpPr>
      </xdr:nvSpPr>
      <xdr:spPr>
        <a:xfrm>
          <a:off x="3962400" y="4600575"/>
          <a:ext cx="104775" cy="952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H26" sqref="H26:H27"/>
    </sheetView>
  </sheetViews>
  <sheetFormatPr defaultColWidth="9.00390625" defaultRowHeight="13.5"/>
  <cols>
    <col min="1" max="1" width="8.625" style="3" customWidth="1"/>
    <col min="2" max="2" width="6.625" style="10" customWidth="1"/>
    <col min="3" max="3" width="2.625" style="10" customWidth="1"/>
    <col min="4" max="4" width="8.625" style="10" customWidth="1"/>
    <col min="5" max="5" width="2.625" style="10" customWidth="1"/>
    <col min="6" max="6" width="6.625" style="10" customWidth="1"/>
    <col min="7" max="7" width="4.625" style="10" customWidth="1"/>
    <col min="8" max="8" width="6.625" style="10" customWidth="1"/>
    <col min="9" max="9" width="2.625" style="10" customWidth="1"/>
    <col min="10" max="10" width="8.625" style="10" customWidth="1"/>
    <col min="11" max="11" width="2.625" style="10" customWidth="1"/>
    <col min="12" max="12" width="6.625" style="10" customWidth="1"/>
    <col min="13" max="13" width="4.625" style="10" customWidth="1"/>
    <col min="14" max="14" width="9.00390625" style="10" customWidth="1"/>
    <col min="15" max="15" width="8.25390625" style="10" customWidth="1"/>
    <col min="16" max="16384" width="9.00390625" style="10" customWidth="1"/>
  </cols>
  <sheetData>
    <row r="1" spans="1:10" ht="13.5">
      <c r="A1" s="62" t="s">
        <v>94</v>
      </c>
      <c r="B1" s="25"/>
      <c r="C1" s="25"/>
      <c r="D1" s="25"/>
      <c r="H1" s="25"/>
      <c r="I1" s="25"/>
      <c r="J1" s="25"/>
    </row>
    <row r="2" ht="12.75">
      <c r="A2" s="63"/>
    </row>
    <row r="3" ht="15.75" customHeight="1" thickBot="1">
      <c r="A3" s="62" t="s">
        <v>68</v>
      </c>
    </row>
    <row r="4" spans="1:13" ht="19.5" customHeight="1" thickBot="1">
      <c r="A4" s="26" t="s">
        <v>5</v>
      </c>
      <c r="B4" s="220" t="s">
        <v>6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</row>
    <row r="5" spans="1:13" ht="8.25" customHeight="1" thickTop="1">
      <c r="A5" s="203" t="s">
        <v>0</v>
      </c>
      <c r="B5" s="27"/>
      <c r="C5" s="28"/>
      <c r="D5" s="28"/>
      <c r="E5" s="28"/>
      <c r="F5" s="28"/>
      <c r="G5" s="28"/>
      <c r="H5" s="29"/>
      <c r="I5" s="28"/>
      <c r="J5" s="28"/>
      <c r="K5" s="28"/>
      <c r="L5" s="28"/>
      <c r="M5" s="32"/>
    </row>
    <row r="6" spans="1:13" ht="15" customHeight="1">
      <c r="A6" s="203"/>
      <c r="B6" s="27"/>
      <c r="C6" s="30" t="s">
        <v>92</v>
      </c>
      <c r="D6" s="28"/>
      <c r="E6" s="28"/>
      <c r="F6" s="28"/>
      <c r="G6" s="28"/>
      <c r="H6" s="162" t="s">
        <v>69</v>
      </c>
      <c r="I6" s="28"/>
      <c r="J6" s="28"/>
      <c r="K6" s="28"/>
      <c r="L6" s="28"/>
      <c r="M6" s="32"/>
    </row>
    <row r="7" spans="1:13" ht="12.75" customHeight="1">
      <c r="A7" s="203"/>
      <c r="B7" s="12"/>
      <c r="C7" s="11"/>
      <c r="D7" s="11"/>
      <c r="E7" s="11"/>
      <c r="F7" s="11" t="s">
        <v>64</v>
      </c>
      <c r="G7" s="11"/>
      <c r="H7" s="33"/>
      <c r="I7" s="11"/>
      <c r="J7" s="11"/>
      <c r="K7" s="11"/>
      <c r="L7" s="11" t="s">
        <v>64</v>
      </c>
      <c r="M7" s="34"/>
    </row>
    <row r="8" spans="1:13" ht="12.75" customHeight="1">
      <c r="A8" s="203"/>
      <c r="B8" s="12"/>
      <c r="C8" s="11"/>
      <c r="D8" s="11"/>
      <c r="E8" s="11"/>
      <c r="F8" s="35" t="s">
        <v>65</v>
      </c>
      <c r="G8" s="11"/>
      <c r="H8" s="33"/>
      <c r="I8" s="11"/>
      <c r="J8" s="11"/>
      <c r="K8" s="11"/>
      <c r="L8" s="35" t="s">
        <v>65</v>
      </c>
      <c r="M8" s="34"/>
    </row>
    <row r="9" spans="1:13" ht="12.75" customHeight="1">
      <c r="A9" s="203"/>
      <c r="B9" s="12"/>
      <c r="C9" s="11"/>
      <c r="D9" s="11"/>
      <c r="E9" s="11"/>
      <c r="F9" s="11"/>
      <c r="G9" s="11"/>
      <c r="H9" s="33"/>
      <c r="I9" s="11"/>
      <c r="J9" s="11"/>
      <c r="K9" s="11"/>
      <c r="L9" s="11"/>
      <c r="M9" s="34"/>
    </row>
    <row r="10" spans="1:13" ht="12.75" customHeight="1">
      <c r="A10" s="203"/>
      <c r="B10" s="36"/>
      <c r="C10" s="11"/>
      <c r="D10" s="217">
        <f>'洪水1-1'!B19</f>
        <v>5</v>
      </c>
      <c r="E10" s="11"/>
      <c r="F10" s="224">
        <f>'洪水1-1'!I12</f>
        <v>0.3</v>
      </c>
      <c r="G10" s="11"/>
      <c r="H10" s="37"/>
      <c r="I10" s="11"/>
      <c r="J10" s="217">
        <f>D10</f>
        <v>5</v>
      </c>
      <c r="K10" s="11"/>
      <c r="L10" s="224">
        <f>F10-0.05</f>
        <v>0.25</v>
      </c>
      <c r="M10" s="34"/>
    </row>
    <row r="11" spans="1:13" ht="12.75" customHeight="1">
      <c r="A11" s="203"/>
      <c r="B11" s="38"/>
      <c r="C11" s="11"/>
      <c r="D11" s="217"/>
      <c r="E11" s="11"/>
      <c r="F11" s="224"/>
      <c r="G11" s="11"/>
      <c r="H11" s="39"/>
      <c r="I11" s="11"/>
      <c r="J11" s="217"/>
      <c r="K11" s="11"/>
      <c r="L11" s="224"/>
      <c r="M11" s="34"/>
    </row>
    <row r="12" spans="1:13" ht="12.75" customHeight="1">
      <c r="A12" s="203"/>
      <c r="B12" s="38"/>
      <c r="C12" s="11"/>
      <c r="D12" s="217"/>
      <c r="E12" s="11"/>
      <c r="F12" s="224"/>
      <c r="G12" s="11"/>
      <c r="H12" s="39"/>
      <c r="I12" s="11"/>
      <c r="J12" s="217"/>
      <c r="K12" s="11"/>
      <c r="L12" s="224"/>
      <c r="M12" s="34"/>
    </row>
    <row r="13" spans="1:13" ht="12.75" customHeight="1">
      <c r="A13" s="203"/>
      <c r="B13" s="223">
        <f>'洪水1-1'!F15</f>
        <v>0.2</v>
      </c>
      <c r="C13" s="11"/>
      <c r="D13" s="217"/>
      <c r="E13" s="11"/>
      <c r="G13" s="11"/>
      <c r="H13" s="218">
        <f>B13</f>
        <v>0.2</v>
      </c>
      <c r="I13" s="11"/>
      <c r="J13" s="217"/>
      <c r="K13" s="11"/>
      <c r="M13" s="34"/>
    </row>
    <row r="14" spans="1:13" ht="12.75" customHeight="1">
      <c r="A14" s="203"/>
      <c r="B14" s="223"/>
      <c r="C14" s="11"/>
      <c r="D14" s="217"/>
      <c r="E14" s="11"/>
      <c r="F14" s="198"/>
      <c r="G14" s="11"/>
      <c r="H14" s="218"/>
      <c r="I14" s="11"/>
      <c r="J14" s="217"/>
      <c r="K14" s="11"/>
      <c r="L14" s="198"/>
      <c r="M14" s="34"/>
    </row>
    <row r="15" spans="1:13" ht="12.75" customHeight="1">
      <c r="A15" s="203"/>
      <c r="B15" s="223"/>
      <c r="C15" s="11"/>
      <c r="D15" s="217"/>
      <c r="E15" s="11"/>
      <c r="F15" s="198"/>
      <c r="G15" s="11"/>
      <c r="H15" s="218"/>
      <c r="I15" s="11"/>
      <c r="J15" s="217"/>
      <c r="K15" s="11"/>
      <c r="L15" s="198"/>
      <c r="M15" s="34"/>
    </row>
    <row r="16" spans="1:13" ht="12.75" customHeight="1">
      <c r="A16" s="203"/>
      <c r="B16" s="223"/>
      <c r="C16" s="11"/>
      <c r="D16" s="217"/>
      <c r="E16" s="11"/>
      <c r="F16" s="198"/>
      <c r="G16" s="11"/>
      <c r="H16" s="218"/>
      <c r="I16" s="11"/>
      <c r="J16" s="217"/>
      <c r="K16" s="11"/>
      <c r="L16" s="198"/>
      <c r="M16" s="34"/>
    </row>
    <row r="17" spans="1:13" ht="8.25" customHeight="1">
      <c r="A17" s="203"/>
      <c r="B17" s="12"/>
      <c r="C17" s="11"/>
      <c r="D17" s="11"/>
      <c r="E17" s="11"/>
      <c r="F17" s="11"/>
      <c r="G17" s="11"/>
      <c r="H17" s="33"/>
      <c r="I17" s="11"/>
      <c r="J17" s="11"/>
      <c r="K17" s="11"/>
      <c r="L17" s="11"/>
      <c r="M17" s="34"/>
    </row>
    <row r="18" spans="1:13" ht="12.75" customHeight="1">
      <c r="A18" s="203"/>
      <c r="B18" s="12"/>
      <c r="C18" s="216">
        <f>'洪水1-1'!F37</f>
        <v>3.2</v>
      </c>
      <c r="D18" s="216"/>
      <c r="E18" s="216"/>
      <c r="F18" s="11"/>
      <c r="G18" s="11"/>
      <c r="H18" s="33"/>
      <c r="I18" s="216">
        <f>'洪水1-1 (2)'!F37</f>
        <v>3</v>
      </c>
      <c r="J18" s="216"/>
      <c r="K18" s="216"/>
      <c r="L18" s="11"/>
      <c r="M18" s="34"/>
    </row>
    <row r="19" spans="1:13" ht="12.75" customHeight="1">
      <c r="A19" s="204"/>
      <c r="B19" s="12"/>
      <c r="C19" s="11"/>
      <c r="D19" s="11"/>
      <c r="E19" s="11"/>
      <c r="F19" s="11"/>
      <c r="G19" s="11"/>
      <c r="H19" s="33"/>
      <c r="I19" s="11"/>
      <c r="J19" s="11"/>
      <c r="K19" s="11"/>
      <c r="L19" s="11"/>
      <c r="M19" s="34"/>
    </row>
    <row r="20" spans="1:13" ht="7.5" customHeight="1">
      <c r="A20" s="202" t="s">
        <v>2</v>
      </c>
      <c r="B20" s="199"/>
      <c r="C20" s="43"/>
      <c r="D20" s="43"/>
      <c r="E20" s="43"/>
      <c r="F20" s="43"/>
      <c r="G20" s="177"/>
      <c r="H20" s="44"/>
      <c r="I20" s="43"/>
      <c r="J20" s="43"/>
      <c r="K20" s="43"/>
      <c r="L20" s="43"/>
      <c r="M20" s="45"/>
    </row>
    <row r="21" spans="1:13" ht="12.75" customHeight="1">
      <c r="A21" s="203"/>
      <c r="B21" s="200">
        <v>0</v>
      </c>
      <c r="C21" s="13" t="s">
        <v>18</v>
      </c>
      <c r="D21" s="179" t="s">
        <v>162</v>
      </c>
      <c r="E21" s="13" t="s">
        <v>18</v>
      </c>
      <c r="F21" s="13" t="s">
        <v>163</v>
      </c>
      <c r="G21" s="180"/>
      <c r="H21" s="178">
        <v>0</v>
      </c>
      <c r="I21" s="13" t="s">
        <v>18</v>
      </c>
      <c r="J21" s="179" t="s">
        <v>162</v>
      </c>
      <c r="K21" s="13" t="s">
        <v>18</v>
      </c>
      <c r="L21" s="13" t="s">
        <v>163</v>
      </c>
      <c r="M21" s="32"/>
    </row>
    <row r="22" spans="1:13" ht="7.5" customHeight="1">
      <c r="A22" s="203"/>
      <c r="B22" s="36"/>
      <c r="C22" s="31"/>
      <c r="D22" s="31"/>
      <c r="E22" s="31"/>
      <c r="F22" s="35"/>
      <c r="G22" s="181"/>
      <c r="H22" s="37"/>
      <c r="I22" s="31"/>
      <c r="J22" s="31"/>
      <c r="K22" s="31"/>
      <c r="L22" s="35"/>
      <c r="M22" s="47"/>
    </row>
    <row r="23" spans="1:13" ht="12.75" customHeight="1">
      <c r="A23" s="203"/>
      <c r="B23" s="200">
        <v>0</v>
      </c>
      <c r="C23" s="13" t="str">
        <f>'洪水1-1'!J51</f>
        <v>≦</v>
      </c>
      <c r="D23" s="13">
        <f>'洪水1-1'!K51</f>
        <v>2.12</v>
      </c>
      <c r="E23" s="13" t="str">
        <f>'洪水1-1'!L51</f>
        <v>≦</v>
      </c>
      <c r="F23" s="13">
        <f>'洪水1-1'!M51</f>
        <v>3.2</v>
      </c>
      <c r="G23" s="187" t="str">
        <f>'洪水1-1'!N51</f>
        <v>OK</v>
      </c>
      <c r="H23" s="178">
        <f>'洪水1-1 (2)'!I51</f>
        <v>0</v>
      </c>
      <c r="I23" s="189" t="str">
        <f>'洪水1-1 (2)'!J51</f>
        <v>≦</v>
      </c>
      <c r="J23" s="13">
        <f>'洪水1-1 (2)'!K51</f>
        <v>2.06</v>
      </c>
      <c r="K23" s="189" t="str">
        <f>'洪水1-1 (2)'!L51</f>
        <v>≦</v>
      </c>
      <c r="L23" s="13">
        <f>'洪水1-1 (2)'!M51</f>
        <v>3</v>
      </c>
      <c r="M23" s="190" t="str">
        <f>'洪水1-1 (2)'!N51</f>
        <v>OK</v>
      </c>
    </row>
    <row r="24" spans="1:13" ht="7.5" customHeight="1">
      <c r="A24" s="204"/>
      <c r="B24" s="201"/>
      <c r="C24" s="50"/>
      <c r="D24" s="50"/>
      <c r="E24" s="50"/>
      <c r="F24" s="50"/>
      <c r="G24" s="182"/>
      <c r="H24" s="51"/>
      <c r="I24" s="50"/>
      <c r="J24" s="50"/>
      <c r="K24" s="50"/>
      <c r="L24" s="50"/>
      <c r="M24" s="52"/>
    </row>
    <row r="25" spans="1:13" s="183" customFormat="1" ht="8.25" customHeight="1">
      <c r="A25" s="202" t="s">
        <v>1</v>
      </c>
      <c r="B25" s="199"/>
      <c r="C25" s="43"/>
      <c r="D25" s="43"/>
      <c r="E25" s="43"/>
      <c r="F25" s="43"/>
      <c r="G25" s="177"/>
      <c r="H25" s="44"/>
      <c r="I25" s="43"/>
      <c r="J25" s="43"/>
      <c r="K25" s="43"/>
      <c r="L25" s="43"/>
      <c r="M25" s="45"/>
    </row>
    <row r="26" spans="1:13" s="183" customFormat="1" ht="12.75" customHeight="1">
      <c r="A26" s="203"/>
      <c r="B26" s="203" t="s">
        <v>164</v>
      </c>
      <c r="C26" s="209" t="s">
        <v>152</v>
      </c>
      <c r="D26" s="210" t="s">
        <v>165</v>
      </c>
      <c r="E26" s="210"/>
      <c r="F26" s="210"/>
      <c r="G26" s="181"/>
      <c r="H26" s="219" t="s">
        <v>164</v>
      </c>
      <c r="I26" s="209" t="s">
        <v>152</v>
      </c>
      <c r="J26" s="210" t="s">
        <v>165</v>
      </c>
      <c r="K26" s="210"/>
      <c r="L26" s="210"/>
      <c r="M26" s="47"/>
    </row>
    <row r="27" spans="1:13" s="183" customFormat="1" ht="12.75" customHeight="1">
      <c r="A27" s="203"/>
      <c r="B27" s="203"/>
      <c r="C27" s="209"/>
      <c r="D27" s="209" t="s">
        <v>166</v>
      </c>
      <c r="E27" s="209"/>
      <c r="F27" s="209"/>
      <c r="G27" s="181"/>
      <c r="H27" s="219"/>
      <c r="I27" s="209"/>
      <c r="J27" s="209" t="s">
        <v>166</v>
      </c>
      <c r="K27" s="209"/>
      <c r="L27" s="209"/>
      <c r="M27" s="47"/>
    </row>
    <row r="28" spans="1:13" s="183" customFormat="1" ht="8.25" customHeight="1">
      <c r="A28" s="203"/>
      <c r="B28" s="36"/>
      <c r="C28" s="31"/>
      <c r="D28" s="31"/>
      <c r="E28" s="31"/>
      <c r="F28" s="31"/>
      <c r="G28" s="181"/>
      <c r="H28" s="37"/>
      <c r="I28" s="31"/>
      <c r="J28" s="31"/>
      <c r="K28" s="31"/>
      <c r="L28" s="31"/>
      <c r="M28" s="47"/>
    </row>
    <row r="29" spans="1:13" s="183" customFormat="1" ht="12.75" customHeight="1">
      <c r="A29" s="203"/>
      <c r="B29" s="36"/>
      <c r="C29" s="11" t="s">
        <v>152</v>
      </c>
      <c r="D29" s="13">
        <f>'洪水1-1'!I52</f>
        <v>9.28</v>
      </c>
      <c r="E29" s="11" t="str">
        <f>'洪水1-1'!J52</f>
        <v>≧</v>
      </c>
      <c r="F29" s="49">
        <f>'洪水1-1'!K52</f>
        <v>4</v>
      </c>
      <c r="G29" s="184" t="str">
        <f>'洪水1-1'!L52</f>
        <v>OK</v>
      </c>
      <c r="H29" s="37"/>
      <c r="I29" s="11" t="s">
        <v>152</v>
      </c>
      <c r="J29" s="13">
        <f>'洪水1-1 (2)'!I52</f>
        <v>8.69</v>
      </c>
      <c r="K29" s="11" t="str">
        <f>'洪水1-1 (2)'!J52</f>
        <v>≧</v>
      </c>
      <c r="L29" s="49">
        <f>'洪水1-1 (2)'!K52</f>
        <v>4</v>
      </c>
      <c r="M29" s="34" t="str">
        <f>'洪水1-1 (2)'!L52</f>
        <v>OK</v>
      </c>
    </row>
    <row r="30" spans="1:13" s="183" customFormat="1" ht="8.25" customHeight="1">
      <c r="A30" s="204"/>
      <c r="B30" s="201"/>
      <c r="C30" s="50"/>
      <c r="D30" s="50"/>
      <c r="E30" s="50"/>
      <c r="F30" s="50"/>
      <c r="G30" s="182"/>
      <c r="H30" s="51"/>
      <c r="I30" s="50"/>
      <c r="J30" s="50"/>
      <c r="K30" s="50"/>
      <c r="L30" s="50"/>
      <c r="M30" s="52"/>
    </row>
    <row r="31" spans="1:13" ht="12.75" customHeight="1">
      <c r="A31" s="202" t="s">
        <v>3</v>
      </c>
      <c r="B31" s="199" t="s">
        <v>154</v>
      </c>
      <c r="C31" s="43"/>
      <c r="D31" s="43"/>
      <c r="E31" s="43"/>
      <c r="F31" s="43"/>
      <c r="G31" s="205" t="s">
        <v>167</v>
      </c>
      <c r="H31" s="44" t="s">
        <v>154</v>
      </c>
      <c r="I31" s="43"/>
      <c r="J31" s="43"/>
      <c r="K31" s="43"/>
      <c r="L31" s="43"/>
      <c r="M31" s="207" t="s">
        <v>167</v>
      </c>
    </row>
    <row r="32" spans="1:13" ht="12.75" customHeight="1">
      <c r="A32" s="203"/>
      <c r="B32" s="27" t="s">
        <v>168</v>
      </c>
      <c r="C32" s="28" t="s">
        <v>152</v>
      </c>
      <c r="D32" s="53">
        <f>'洪水1-1'!I53</f>
        <v>186.37</v>
      </c>
      <c r="E32" s="28" t="str">
        <f>'洪水1-1'!J53</f>
        <v>≦</v>
      </c>
      <c r="F32" s="48">
        <f>'洪水1-1'!K53</f>
        <v>1180</v>
      </c>
      <c r="G32" s="206"/>
      <c r="H32" s="29" t="s">
        <v>168</v>
      </c>
      <c r="I32" s="28" t="s">
        <v>152</v>
      </c>
      <c r="J32" s="13">
        <f>'洪水1-1 (2)'!I53</f>
        <v>199</v>
      </c>
      <c r="K32" s="28" t="str">
        <f>'洪水1-1 (2)'!J53</f>
        <v>≦</v>
      </c>
      <c r="L32" s="48">
        <f>'洪水1-1 (2)'!K53</f>
        <v>1180</v>
      </c>
      <c r="M32" s="208"/>
    </row>
    <row r="33" spans="1:13" ht="12.75" customHeight="1">
      <c r="A33" s="203"/>
      <c r="B33" s="36" t="s">
        <v>156</v>
      </c>
      <c r="C33" s="31"/>
      <c r="D33" s="31"/>
      <c r="E33" s="31"/>
      <c r="F33" s="185" t="str">
        <f>'洪水1-1'!L53</f>
        <v>OK</v>
      </c>
      <c r="G33" s="206" t="s">
        <v>167</v>
      </c>
      <c r="H33" s="37" t="s">
        <v>156</v>
      </c>
      <c r="I33" s="31"/>
      <c r="J33" s="31"/>
      <c r="K33" s="31"/>
      <c r="L33" s="185" t="str">
        <f>'洪水1-1 (2)'!L53</f>
        <v>OK</v>
      </c>
      <c r="M33" s="208" t="s">
        <v>167</v>
      </c>
    </row>
    <row r="34" spans="1:13" ht="12.75" customHeight="1">
      <c r="A34" s="203"/>
      <c r="B34" s="27" t="s">
        <v>168</v>
      </c>
      <c r="C34" s="28" t="s">
        <v>152</v>
      </c>
      <c r="D34" s="53">
        <f>'洪水1-1'!I54</f>
        <v>186.37</v>
      </c>
      <c r="E34" s="53" t="str">
        <f>'洪水1-1'!J54</f>
        <v>≦</v>
      </c>
      <c r="F34" s="48">
        <f>'洪水1-1'!K54</f>
        <v>4500</v>
      </c>
      <c r="G34" s="206"/>
      <c r="H34" s="29" t="s">
        <v>168</v>
      </c>
      <c r="I34" s="28" t="s">
        <v>152</v>
      </c>
      <c r="J34" s="53">
        <f>'洪水1-1 (2)'!I54</f>
        <v>199</v>
      </c>
      <c r="K34" s="28" t="str">
        <f>'洪水1-1 (2)'!J54</f>
        <v>≦</v>
      </c>
      <c r="L34" s="48">
        <f>'洪水1-1 (2)'!K54</f>
        <v>4500</v>
      </c>
      <c r="M34" s="208"/>
    </row>
    <row r="35" spans="1:13" ht="12.75" customHeight="1">
      <c r="A35" s="203"/>
      <c r="B35" s="36" t="s">
        <v>156</v>
      </c>
      <c r="C35" s="31"/>
      <c r="D35" s="31"/>
      <c r="E35" s="31"/>
      <c r="F35" s="185" t="str">
        <f>'洪水1-1'!L54</f>
        <v>OK</v>
      </c>
      <c r="G35" s="206" t="s">
        <v>167</v>
      </c>
      <c r="H35" s="37" t="s">
        <v>156</v>
      </c>
      <c r="I35" s="31"/>
      <c r="J35" s="31"/>
      <c r="K35" s="31"/>
      <c r="L35" s="185" t="str">
        <f>'洪水1-1 (2)'!L54</f>
        <v>OK</v>
      </c>
      <c r="M35" s="208" t="s">
        <v>167</v>
      </c>
    </row>
    <row r="36" spans="1:13" ht="12.75" customHeight="1">
      <c r="A36" s="203"/>
      <c r="B36" s="27" t="s">
        <v>169</v>
      </c>
      <c r="C36" s="28" t="s">
        <v>152</v>
      </c>
      <c r="D36" s="53">
        <f>'洪水1-1'!I55</f>
        <v>2.36</v>
      </c>
      <c r="E36" s="53" t="str">
        <f>'洪水1-1'!J55</f>
        <v>≧</v>
      </c>
      <c r="F36" s="48">
        <f>'洪水1-1'!K55</f>
        <v>0</v>
      </c>
      <c r="G36" s="206"/>
      <c r="H36" s="29" t="s">
        <v>169</v>
      </c>
      <c r="I36" s="28" t="s">
        <v>152</v>
      </c>
      <c r="J36" s="53">
        <f>'洪水1-1 (2)'!I55</f>
        <v>-11.26</v>
      </c>
      <c r="K36" s="28" t="str">
        <f>'洪水1-1 (2)'!J55</f>
        <v>＜</v>
      </c>
      <c r="L36" s="48">
        <f>'洪水1-1 (2)'!K55</f>
        <v>0</v>
      </c>
      <c r="M36" s="208"/>
    </row>
    <row r="37" spans="1:13" ht="12.75" customHeight="1">
      <c r="A37" s="204"/>
      <c r="B37" s="201"/>
      <c r="C37" s="50"/>
      <c r="D37" s="50"/>
      <c r="E37" s="50"/>
      <c r="F37" s="188" t="str">
        <f>'洪水1-1'!L55</f>
        <v>OK</v>
      </c>
      <c r="G37" s="186"/>
      <c r="H37" s="51"/>
      <c r="I37" s="50"/>
      <c r="J37" s="50"/>
      <c r="K37" s="50"/>
      <c r="L37" s="188" t="str">
        <f>'洪水1-1 (2)'!L55</f>
        <v>OUT</v>
      </c>
      <c r="M37" s="42"/>
    </row>
    <row r="38" spans="1:13" ht="15" customHeight="1" thickBot="1">
      <c r="A38" s="40" t="s">
        <v>4</v>
      </c>
      <c r="B38" s="211" t="str">
        <f>IF(AND(G29="OK",G23="OK",F33="OK",F35="OK",F37="OK"),"OK","OUT")</f>
        <v>OK</v>
      </c>
      <c r="C38" s="212"/>
      <c r="D38" s="212"/>
      <c r="E38" s="212"/>
      <c r="F38" s="212"/>
      <c r="G38" s="213"/>
      <c r="H38" s="214" t="str">
        <f>IF(AND(M29="OK",M23="OK",L33="OK",L35="OK",L37="OK"),"OK","OUT")</f>
        <v>OUT</v>
      </c>
      <c r="I38" s="212"/>
      <c r="J38" s="212"/>
      <c r="K38" s="212"/>
      <c r="L38" s="212"/>
      <c r="M38" s="215"/>
    </row>
  </sheetData>
  <sheetProtection/>
  <mergeCells count="29">
    <mergeCell ref="D10:D16"/>
    <mergeCell ref="B4:M4"/>
    <mergeCell ref="C18:E18"/>
    <mergeCell ref="B13:B16"/>
    <mergeCell ref="F10:F12"/>
    <mergeCell ref="L10:L12"/>
    <mergeCell ref="A20:A24"/>
    <mergeCell ref="A25:A30"/>
    <mergeCell ref="B26:B27"/>
    <mergeCell ref="I18:K18"/>
    <mergeCell ref="J10:J16"/>
    <mergeCell ref="H13:H16"/>
    <mergeCell ref="C26:C27"/>
    <mergeCell ref="D26:F26"/>
    <mergeCell ref="H26:H27"/>
    <mergeCell ref="A5:A19"/>
    <mergeCell ref="I26:I27"/>
    <mergeCell ref="J26:L26"/>
    <mergeCell ref="D27:F27"/>
    <mergeCell ref="J27:L27"/>
    <mergeCell ref="B38:G38"/>
    <mergeCell ref="H38:M38"/>
    <mergeCell ref="A31:A37"/>
    <mergeCell ref="G31:G32"/>
    <mergeCell ref="M31:M32"/>
    <mergeCell ref="G33:G34"/>
    <mergeCell ref="M33:M34"/>
    <mergeCell ref="G35:G36"/>
    <mergeCell ref="M35:M36"/>
  </mergeCells>
  <printOptions/>
  <pageMargins left="0.984251968503937" right="0.1968503937007874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">
      <selection activeCell="B10" sqref="B10"/>
    </sheetView>
  </sheetViews>
  <sheetFormatPr defaultColWidth="8.125" defaultRowHeight="13.5"/>
  <cols>
    <col min="1" max="1" width="3.375" style="1" customWidth="1"/>
    <col min="2" max="2" width="8.125" style="1" customWidth="1"/>
    <col min="3" max="3" width="1.4921875" style="1" customWidth="1"/>
    <col min="4" max="4" width="8.125" style="1" customWidth="1"/>
    <col min="5" max="5" width="1.4921875" style="1" customWidth="1"/>
    <col min="6" max="6" width="8.625" style="1" customWidth="1"/>
    <col min="7" max="7" width="1.4921875" style="1" customWidth="1"/>
    <col min="8" max="8" width="11.375" style="1" customWidth="1"/>
    <col min="9" max="9" width="8.625" style="1" customWidth="1"/>
    <col min="10" max="10" width="4.25390625" style="1" customWidth="1"/>
    <col min="11" max="11" width="6.875" style="1" customWidth="1"/>
    <col min="12" max="12" width="5.625" style="1" customWidth="1"/>
    <col min="13" max="13" width="6.625" style="1" customWidth="1"/>
    <col min="14" max="14" width="5.625" style="1" customWidth="1"/>
    <col min="15" max="16384" width="8.125" style="1" customWidth="1"/>
  </cols>
  <sheetData>
    <row r="1" spans="1:9" ht="18" customHeight="1">
      <c r="A1" s="21" t="s">
        <v>60</v>
      </c>
      <c r="B1" s="22" t="str">
        <f>"安定計算（洪水時）　下流勾配 1:"&amp;FIXED(F15,2)&amp;" 上流勾配 1:"&amp;FIXED(I12,2)</f>
        <v>安定計算（洪水時）　下流勾配 1:0.20 上流勾配 1:0.30</v>
      </c>
      <c r="C1" s="23"/>
      <c r="D1" s="23"/>
      <c r="E1" s="24"/>
      <c r="F1" s="24"/>
      <c r="G1" s="24"/>
      <c r="H1" s="24"/>
      <c r="I1" s="24"/>
    </row>
    <row r="2" ht="12" customHeight="1"/>
    <row r="3" spans="1:4" ht="18" customHeight="1">
      <c r="A3" s="14"/>
      <c r="B3" s="14" t="s">
        <v>7</v>
      </c>
      <c r="C3" s="14"/>
      <c r="D3" s="1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21" t="s">
        <v>70</v>
      </c>
      <c r="L5" s="41" t="s">
        <v>71</v>
      </c>
      <c r="M5" s="41"/>
      <c r="N5" s="14"/>
      <c r="O5" s="14"/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22" t="s">
        <v>72</v>
      </c>
      <c r="L6" s="14"/>
      <c r="M6" s="14"/>
      <c r="N6" s="14"/>
      <c r="O6" s="14"/>
    </row>
    <row r="7" spans="1:15" ht="12.75">
      <c r="A7" s="14"/>
      <c r="B7" s="14"/>
      <c r="C7" s="14"/>
      <c r="D7" s="14"/>
      <c r="E7" s="14"/>
      <c r="F7" s="14"/>
      <c r="G7" s="14"/>
      <c r="H7" s="14" t="s">
        <v>170</v>
      </c>
      <c r="I7" s="14" t="s">
        <v>73</v>
      </c>
      <c r="J7" s="14"/>
      <c r="K7" s="122"/>
      <c r="L7" s="14"/>
      <c r="M7" s="14"/>
      <c r="N7" s="14"/>
      <c r="O7" s="14"/>
    </row>
    <row r="8" spans="1:15" ht="12.75">
      <c r="A8" s="14"/>
      <c r="B8" s="16" t="s">
        <v>74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4"/>
      <c r="B9" s="123">
        <v>0.9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91">
        <v>0.3</v>
      </c>
      <c r="J12" s="14"/>
      <c r="K12" s="14"/>
      <c r="L12" s="14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8" t="s">
        <v>76</v>
      </c>
      <c r="J13" s="14"/>
      <c r="K13" s="14"/>
      <c r="L13" s="14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4"/>
      <c r="B15" s="14"/>
      <c r="C15" s="14"/>
      <c r="D15" s="14"/>
      <c r="E15" s="14"/>
      <c r="F15" s="124">
        <v>0.2</v>
      </c>
      <c r="G15" s="14"/>
      <c r="H15" s="14"/>
      <c r="I15" s="14"/>
      <c r="J15" s="14"/>
      <c r="K15" s="14"/>
      <c r="L15" s="14"/>
      <c r="M15" s="16" t="s">
        <v>181</v>
      </c>
      <c r="N15" s="14"/>
      <c r="O15" s="14"/>
    </row>
    <row r="16" spans="1:15" ht="12.75">
      <c r="A16" s="14"/>
      <c r="B16" s="14"/>
      <c r="C16" s="14"/>
      <c r="D16" s="14"/>
      <c r="E16" s="14"/>
      <c r="F16" s="14"/>
      <c r="G16" s="14"/>
      <c r="H16" s="14"/>
      <c r="J16" s="14" t="s">
        <v>77</v>
      </c>
      <c r="K16" s="14"/>
      <c r="L16" s="14"/>
      <c r="M16" s="123">
        <v>4</v>
      </c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 t="s">
        <v>171</v>
      </c>
      <c r="J17" s="14"/>
      <c r="K17" s="14"/>
      <c r="L17" s="14"/>
      <c r="M17" s="14"/>
      <c r="N17" s="14"/>
      <c r="O17" s="14"/>
    </row>
    <row r="18" spans="1:15" ht="12.75">
      <c r="A18" s="14"/>
      <c r="B18" s="16" t="s">
        <v>75</v>
      </c>
      <c r="C18" s="14"/>
      <c r="D18" s="14"/>
      <c r="E18" s="14"/>
      <c r="F18" s="14"/>
      <c r="G18" s="14"/>
      <c r="H18" s="14" t="s">
        <v>172</v>
      </c>
      <c r="J18" s="14"/>
      <c r="K18" s="14" t="s">
        <v>78</v>
      </c>
      <c r="L18" s="14"/>
      <c r="M18" s="14"/>
      <c r="N18" s="14"/>
      <c r="O18" s="14"/>
    </row>
    <row r="19" spans="1:15" ht="12.75">
      <c r="A19" s="14"/>
      <c r="B19" s="123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K23" s="14"/>
      <c r="L23" s="14"/>
      <c r="M23" s="16" t="s">
        <v>182</v>
      </c>
      <c r="N23" s="14"/>
      <c r="O23" s="14"/>
    </row>
    <row r="24" spans="1:15" ht="12.75">
      <c r="A24" s="14"/>
      <c r="B24" s="14"/>
      <c r="C24" s="14"/>
      <c r="D24" s="14"/>
      <c r="E24" s="14"/>
      <c r="F24" s="14" t="s">
        <v>173</v>
      </c>
      <c r="G24" s="14"/>
      <c r="H24" s="14"/>
      <c r="I24" s="14" t="s">
        <v>52</v>
      </c>
      <c r="J24" s="14"/>
      <c r="K24" s="14"/>
      <c r="L24" s="14"/>
      <c r="M24" s="130">
        <f>B19-M16</f>
        <v>1</v>
      </c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16" t="s">
        <v>53</v>
      </c>
      <c r="G32" s="16"/>
      <c r="H32" s="16" t="s">
        <v>54</v>
      </c>
      <c r="I32" s="16" t="s">
        <v>55</v>
      </c>
      <c r="J32" s="14"/>
      <c r="K32" s="14"/>
      <c r="L32" s="14"/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241">
        <f>B19*F15</f>
        <v>1</v>
      </c>
      <c r="G33" s="241"/>
      <c r="H33" s="56">
        <v>1</v>
      </c>
      <c r="I33" s="59">
        <f>M16*I12</f>
        <v>1.2</v>
      </c>
      <c r="J33" s="14"/>
      <c r="K33" s="14"/>
      <c r="L33" s="14"/>
      <c r="M33" s="14"/>
      <c r="N33" s="14"/>
      <c r="O33" s="14"/>
    </row>
    <row r="34" spans="1:15" ht="4.5" customHeight="1">
      <c r="A34" s="14"/>
      <c r="B34" s="14"/>
      <c r="C34" s="14"/>
      <c r="D34" s="14"/>
      <c r="E34" s="14"/>
      <c r="F34" s="59"/>
      <c r="G34" s="59"/>
      <c r="H34" s="59"/>
      <c r="I34" s="59"/>
      <c r="J34" s="14"/>
      <c r="K34" s="14"/>
      <c r="L34" s="14"/>
      <c r="M34" s="14"/>
      <c r="N34" s="14"/>
      <c r="O34" s="14"/>
    </row>
    <row r="35" spans="1:15" ht="4.5" customHeight="1">
      <c r="A35" s="14"/>
      <c r="B35" s="14"/>
      <c r="C35" s="14"/>
      <c r="D35" s="14"/>
      <c r="E35" s="14"/>
      <c r="F35" s="59"/>
      <c r="G35" s="59"/>
      <c r="H35" s="59"/>
      <c r="I35" s="59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59"/>
      <c r="G36" s="59"/>
      <c r="H36" s="125" t="s">
        <v>79</v>
      </c>
      <c r="I36" s="59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241">
        <f>F33+H33+I33</f>
        <v>3.2</v>
      </c>
      <c r="G37" s="241"/>
      <c r="H37" s="241"/>
      <c r="I37" s="241"/>
      <c r="J37" s="14"/>
      <c r="K37" s="14"/>
      <c r="L37" s="14"/>
      <c r="M37" s="14"/>
      <c r="N37" s="14"/>
      <c r="O37" s="14"/>
    </row>
    <row r="38" spans="1:15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8" customHeight="1">
      <c r="A41" s="14"/>
      <c r="B41" s="14"/>
      <c r="C41" s="14"/>
      <c r="D41" s="14"/>
      <c r="E41" s="14"/>
      <c r="F41" s="14"/>
      <c r="G41" s="14"/>
      <c r="H41" s="14"/>
      <c r="I41" s="18" t="s">
        <v>80</v>
      </c>
      <c r="J41" s="14" t="s">
        <v>59</v>
      </c>
      <c r="K41" s="56">
        <v>22.56</v>
      </c>
      <c r="L41" s="14" t="s">
        <v>81</v>
      </c>
      <c r="M41" s="14"/>
      <c r="N41" s="14"/>
      <c r="O41" s="14"/>
    </row>
    <row r="42" spans="1:15" ht="18" customHeight="1">
      <c r="A42" s="14"/>
      <c r="B42" s="14"/>
      <c r="C42" s="14"/>
      <c r="D42" s="14"/>
      <c r="E42" s="14"/>
      <c r="F42" s="14"/>
      <c r="G42" s="14"/>
      <c r="H42" s="14"/>
      <c r="I42" s="18" t="s">
        <v>8</v>
      </c>
      <c r="J42" s="14" t="s">
        <v>48</v>
      </c>
      <c r="K42" s="56">
        <v>11.77</v>
      </c>
      <c r="L42" s="14" t="s">
        <v>82</v>
      </c>
      <c r="M42" s="14"/>
      <c r="N42" s="14"/>
      <c r="O42" s="14"/>
    </row>
    <row r="43" spans="1:15" ht="18" customHeight="1">
      <c r="A43" s="14"/>
      <c r="B43" s="14"/>
      <c r="C43" s="14"/>
      <c r="D43" s="14"/>
      <c r="E43" s="14"/>
      <c r="F43" s="14"/>
      <c r="G43" s="14"/>
      <c r="H43" s="14"/>
      <c r="I43" s="18" t="s">
        <v>9</v>
      </c>
      <c r="J43" s="14" t="s">
        <v>49</v>
      </c>
      <c r="K43" s="58" t="s">
        <v>93</v>
      </c>
      <c r="L43" s="14"/>
      <c r="M43" s="14"/>
      <c r="N43" s="14"/>
      <c r="O43" s="14"/>
    </row>
    <row r="44" spans="1:15" ht="18" customHeight="1">
      <c r="A44" s="14"/>
      <c r="B44" s="14"/>
      <c r="C44" s="14"/>
      <c r="D44" s="14"/>
      <c r="E44" s="14"/>
      <c r="F44" s="14"/>
      <c r="G44" s="14"/>
      <c r="H44" s="14"/>
      <c r="I44" s="15" t="s">
        <v>10</v>
      </c>
      <c r="J44" s="14" t="s">
        <v>83</v>
      </c>
      <c r="K44" s="126">
        <v>1180</v>
      </c>
      <c r="L44" s="14" t="s">
        <v>84</v>
      </c>
      <c r="M44" s="14"/>
      <c r="N44" s="14"/>
      <c r="O44" s="14"/>
    </row>
    <row r="45" spans="1:15" ht="18" customHeight="1">
      <c r="A45" s="14"/>
      <c r="B45" s="14"/>
      <c r="C45" s="14"/>
      <c r="D45" s="14"/>
      <c r="E45" s="14"/>
      <c r="F45" s="14"/>
      <c r="G45" s="14"/>
      <c r="H45" s="14"/>
      <c r="I45" s="18" t="s">
        <v>11</v>
      </c>
      <c r="J45" s="14" t="s">
        <v>50</v>
      </c>
      <c r="K45" s="57">
        <v>4</v>
      </c>
      <c r="L45" s="14"/>
      <c r="M45" s="14"/>
      <c r="N45" s="14"/>
      <c r="O45" s="14"/>
    </row>
    <row r="46" spans="1:15" ht="18" customHeight="1">
      <c r="A46" s="14"/>
      <c r="B46" s="14"/>
      <c r="C46" s="14"/>
      <c r="D46" s="14"/>
      <c r="E46" s="14"/>
      <c r="F46" s="14"/>
      <c r="G46" s="14"/>
      <c r="H46" s="14"/>
      <c r="I46" s="18" t="s">
        <v>12</v>
      </c>
      <c r="J46" s="14" t="s">
        <v>50</v>
      </c>
      <c r="K46" s="56">
        <v>0.7</v>
      </c>
      <c r="L46" s="14"/>
      <c r="M46" s="14"/>
      <c r="N46" s="14"/>
      <c r="O46" s="14"/>
    </row>
    <row r="47" spans="1:15" ht="18" customHeight="1">
      <c r="A47" s="14"/>
      <c r="B47" s="14"/>
      <c r="C47" s="14"/>
      <c r="D47" s="14"/>
      <c r="E47" s="14"/>
      <c r="F47" s="14"/>
      <c r="G47" s="14"/>
      <c r="H47" s="14"/>
      <c r="I47" s="18" t="s">
        <v>13</v>
      </c>
      <c r="J47" s="14" t="s">
        <v>51</v>
      </c>
      <c r="K47" s="127">
        <v>590</v>
      </c>
      <c r="L47" s="14" t="s">
        <v>85</v>
      </c>
      <c r="M47" s="14"/>
      <c r="N47" s="14"/>
      <c r="O47" s="14"/>
    </row>
    <row r="48" spans="1:15" ht="18" customHeight="1">
      <c r="A48" s="14"/>
      <c r="B48" s="14"/>
      <c r="C48" s="14"/>
      <c r="D48" s="14"/>
      <c r="E48" s="14"/>
      <c r="F48" s="14"/>
      <c r="G48" s="14"/>
      <c r="H48" s="14"/>
      <c r="I48" s="18" t="s">
        <v>14</v>
      </c>
      <c r="J48" s="14" t="s">
        <v>51</v>
      </c>
      <c r="K48" s="127">
        <v>330</v>
      </c>
      <c r="L48" s="14" t="s">
        <v>85</v>
      </c>
      <c r="M48" s="14"/>
      <c r="N48" s="14"/>
      <c r="O48" s="14"/>
    </row>
    <row r="49" spans="1:15" ht="18" customHeight="1">
      <c r="A49" s="14"/>
      <c r="B49" s="14"/>
      <c r="C49" s="14"/>
      <c r="D49" s="14"/>
      <c r="E49" s="14"/>
      <c r="F49" s="14"/>
      <c r="G49" s="14"/>
      <c r="H49" s="14"/>
      <c r="I49" s="18" t="s">
        <v>67</v>
      </c>
      <c r="J49" s="14" t="s">
        <v>86</v>
      </c>
      <c r="K49" s="127">
        <v>4500</v>
      </c>
      <c r="L49" s="14" t="s">
        <v>87</v>
      </c>
      <c r="M49" s="14"/>
      <c r="N49" s="14"/>
      <c r="O49" s="14"/>
    </row>
    <row r="50" spans="1:15" ht="15" customHeight="1" thickBot="1">
      <c r="A50" s="14"/>
      <c r="B50" s="242" t="s">
        <v>15</v>
      </c>
      <c r="C50" s="242"/>
      <c r="D50" s="24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6" ht="15" customHeight="1">
      <c r="A51" s="14"/>
      <c r="B51" s="243" t="s">
        <v>158</v>
      </c>
      <c r="C51" s="244"/>
      <c r="D51" s="244"/>
      <c r="E51" s="244"/>
      <c r="F51" s="245" t="s">
        <v>159</v>
      </c>
      <c r="G51" s="246"/>
      <c r="H51" s="246"/>
      <c r="I51" s="167">
        <f>'洪水1-3'!B8</f>
        <v>0</v>
      </c>
      <c r="J51" s="60" t="str">
        <f>'洪水1-3'!C8</f>
        <v>≦</v>
      </c>
      <c r="K51" s="60">
        <f>'洪水1-3'!D8</f>
        <v>2.12</v>
      </c>
      <c r="L51" s="60" t="str">
        <f>'洪水1-3'!E8</f>
        <v>≦</v>
      </c>
      <c r="M51" s="60">
        <f>'洪水1-3'!F8</f>
        <v>3.2</v>
      </c>
      <c r="N51" s="173" t="str">
        <f>'洪水1-3'!G8</f>
        <v>OK</v>
      </c>
      <c r="O51" s="14"/>
      <c r="P51" s="14"/>
    </row>
    <row r="52" spans="1:16" ht="15" customHeight="1">
      <c r="A52" s="14"/>
      <c r="B52" s="229" t="s">
        <v>160</v>
      </c>
      <c r="C52" s="230"/>
      <c r="D52" s="230"/>
      <c r="E52" s="230"/>
      <c r="F52" s="237" t="s">
        <v>161</v>
      </c>
      <c r="G52" s="238"/>
      <c r="H52" s="238"/>
      <c r="I52" s="168">
        <f>'洪水1-3'!D23</f>
        <v>9.28</v>
      </c>
      <c r="J52" s="61" t="str">
        <f>'洪水1-3'!E23</f>
        <v>≧</v>
      </c>
      <c r="K52" s="171">
        <f>'洪水1-3'!F23</f>
        <v>4</v>
      </c>
      <c r="L52" s="171" t="str">
        <f>'洪水1-3'!H23</f>
        <v>OK</v>
      </c>
      <c r="M52" s="61"/>
      <c r="N52" s="129"/>
      <c r="O52" s="14"/>
      <c r="P52" s="14"/>
    </row>
    <row r="53" spans="1:16" ht="15" customHeight="1">
      <c r="A53" s="14"/>
      <c r="B53" s="231" t="s">
        <v>89</v>
      </c>
      <c r="C53" s="232"/>
      <c r="D53" s="232"/>
      <c r="E53" s="233"/>
      <c r="F53" s="239" t="s">
        <v>63</v>
      </c>
      <c r="G53" s="240"/>
      <c r="H53" s="240"/>
      <c r="I53" s="168">
        <f>'洪水1-3'!D54</f>
        <v>186.37</v>
      </c>
      <c r="J53" s="46" t="str">
        <f>'洪水1-3'!E54</f>
        <v>≦</v>
      </c>
      <c r="K53" s="164">
        <f>'洪水1-3'!G54</f>
        <v>1180</v>
      </c>
      <c r="L53" s="164" t="str">
        <f>'洪水1-3'!I54</f>
        <v>OK</v>
      </c>
      <c r="M53" s="46"/>
      <c r="N53" s="174"/>
      <c r="O53" s="14"/>
      <c r="P53" s="14"/>
    </row>
    <row r="54" spans="1:16" ht="15" customHeight="1">
      <c r="A54" s="14"/>
      <c r="B54" s="231"/>
      <c r="C54" s="232"/>
      <c r="D54" s="232"/>
      <c r="E54" s="233"/>
      <c r="F54" s="225" t="s">
        <v>62</v>
      </c>
      <c r="G54" s="226"/>
      <c r="H54" s="226"/>
      <c r="I54" s="168">
        <f>'洪水1-3'!D56</f>
        <v>186.37</v>
      </c>
      <c r="J54" s="128" t="str">
        <f>'洪水1-3'!E56</f>
        <v>≦</v>
      </c>
      <c r="K54" s="164">
        <f>'洪水1-3'!G56</f>
        <v>4500</v>
      </c>
      <c r="L54" s="164" t="str">
        <f>'洪水1-3'!I56</f>
        <v>OK</v>
      </c>
      <c r="M54" s="128"/>
      <c r="N54" s="175"/>
      <c r="O54" s="14"/>
      <c r="P54" s="14"/>
    </row>
    <row r="55" spans="1:16" ht="15" customHeight="1" thickBot="1">
      <c r="A55" s="14"/>
      <c r="B55" s="234"/>
      <c r="C55" s="235"/>
      <c r="D55" s="235"/>
      <c r="E55" s="236"/>
      <c r="F55" s="227"/>
      <c r="G55" s="228"/>
      <c r="H55" s="228"/>
      <c r="I55" s="169">
        <f>'洪水1-3'!D58</f>
        <v>2.36</v>
      </c>
      <c r="J55" s="170" t="str">
        <f>'洪水1-3'!E58</f>
        <v>≧</v>
      </c>
      <c r="K55" s="172">
        <f>'洪水1-3'!G58</f>
        <v>0</v>
      </c>
      <c r="L55" s="172" t="str">
        <f>'洪水1-3'!I58</f>
        <v>OK</v>
      </c>
      <c r="M55" s="170"/>
      <c r="N55" s="176"/>
      <c r="O55" s="14"/>
      <c r="P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sheetProtection/>
  <mergeCells count="10">
    <mergeCell ref="F54:H55"/>
    <mergeCell ref="B52:E52"/>
    <mergeCell ref="B53:E55"/>
    <mergeCell ref="F52:H52"/>
    <mergeCell ref="F53:H53"/>
    <mergeCell ref="F33:G33"/>
    <mergeCell ref="F37:I37"/>
    <mergeCell ref="B50:D50"/>
    <mergeCell ref="B51:E51"/>
    <mergeCell ref="F51:H51"/>
  </mergeCells>
  <printOptions/>
  <pageMargins left="1.1811023622047245" right="0.7874015748031497" top="1.1811023622047245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A1" sqref="A1"/>
    </sheetView>
  </sheetViews>
  <sheetFormatPr defaultColWidth="9.50390625" defaultRowHeight="12" customHeight="1"/>
  <cols>
    <col min="1" max="1" width="9.75390625" style="1" customWidth="1"/>
    <col min="2" max="2" width="4.125" style="1" customWidth="1"/>
    <col min="3" max="3" width="5.75390625" style="1" customWidth="1"/>
    <col min="4" max="4" width="2.375" style="1" customWidth="1"/>
    <col min="5" max="5" width="5.75390625" style="1" customWidth="1"/>
    <col min="6" max="6" width="2.875" style="1" customWidth="1"/>
    <col min="7" max="7" width="5.75390625" style="1" customWidth="1"/>
    <col min="8" max="8" width="2.375" style="1" customWidth="1"/>
    <col min="9" max="9" width="5.75390625" style="1" customWidth="1"/>
    <col min="10" max="10" width="2.375" style="1" customWidth="1"/>
    <col min="11" max="11" width="5.75390625" style="1" customWidth="1"/>
    <col min="12" max="12" width="2.375" style="1" customWidth="1"/>
    <col min="13" max="14" width="8.75390625" style="1" customWidth="1"/>
    <col min="15" max="15" width="5.75390625" style="1" customWidth="1"/>
    <col min="16" max="16" width="2.875" style="1" customWidth="1"/>
    <col min="17" max="17" width="5.75390625" style="1" customWidth="1"/>
    <col min="18" max="18" width="2.375" style="1" customWidth="1"/>
    <col min="19" max="19" width="5.75390625" style="1" customWidth="1"/>
    <col min="20" max="20" width="2.375" style="1" customWidth="1"/>
    <col min="21" max="21" width="5.75390625" style="1" customWidth="1"/>
    <col min="22" max="22" width="2.375" style="1" customWidth="1"/>
    <col min="23" max="23" width="5.75390625" style="1" customWidth="1"/>
    <col min="24" max="24" width="2.375" style="1" customWidth="1"/>
    <col min="25" max="25" width="5.75390625" style="1" customWidth="1"/>
    <col min="26" max="26" width="2.375" style="1" customWidth="1"/>
    <col min="27" max="27" width="5.75390625" style="1" customWidth="1"/>
    <col min="28" max="28" width="9.75390625" style="1" customWidth="1"/>
    <col min="29" max="16384" width="9.50390625" style="1" customWidth="1"/>
  </cols>
  <sheetData>
    <row r="1" spans="1:27" ht="18" customHeight="1">
      <c r="A1" s="8"/>
      <c r="F1" s="14"/>
      <c r="G1" s="15" t="s">
        <v>58</v>
      </c>
      <c r="H1" s="16"/>
      <c r="I1" s="17" t="s">
        <v>90</v>
      </c>
      <c r="J1" s="14"/>
      <c r="K1" s="14"/>
      <c r="L1" s="14"/>
      <c r="M1" s="14"/>
      <c r="N1" s="14"/>
      <c r="O1" s="14"/>
      <c r="P1" s="14"/>
      <c r="Q1" s="14"/>
      <c r="U1" s="6"/>
      <c r="W1" s="9"/>
      <c r="Y1" s="6"/>
      <c r="AA1" s="7"/>
    </row>
    <row r="2" spans="6:17" ht="12" customHeight="1" thickBot="1">
      <c r="F2" s="14"/>
      <c r="G2" s="59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8" ht="18" customHeight="1">
      <c r="A3" s="247" t="s">
        <v>28</v>
      </c>
      <c r="B3" s="249" t="s">
        <v>29</v>
      </c>
      <c r="C3" s="64"/>
      <c r="D3" s="65"/>
      <c r="E3" s="251" t="s">
        <v>30</v>
      </c>
      <c r="F3" s="251"/>
      <c r="G3" s="251"/>
      <c r="H3" s="251"/>
      <c r="I3" s="251"/>
      <c r="J3" s="251"/>
      <c r="K3" s="65"/>
      <c r="L3" s="65"/>
      <c r="M3" s="66" t="s">
        <v>31</v>
      </c>
      <c r="N3" s="66" t="s">
        <v>32</v>
      </c>
      <c r="O3" s="64"/>
      <c r="P3" s="65"/>
      <c r="Q3" s="251" t="s">
        <v>33</v>
      </c>
      <c r="R3" s="251"/>
      <c r="S3" s="251"/>
      <c r="T3" s="251"/>
      <c r="U3" s="251"/>
      <c r="V3" s="251"/>
      <c r="W3" s="251"/>
      <c r="X3" s="251"/>
      <c r="Y3" s="251"/>
      <c r="Z3" s="251"/>
      <c r="AA3" s="65"/>
      <c r="AB3" s="67" t="s">
        <v>56</v>
      </c>
    </row>
    <row r="4" spans="1:28" ht="18" customHeight="1" thickBot="1">
      <c r="A4" s="248"/>
      <c r="B4" s="250"/>
      <c r="C4" s="68"/>
      <c r="D4" s="69"/>
      <c r="E4" s="252"/>
      <c r="F4" s="252"/>
      <c r="G4" s="252"/>
      <c r="H4" s="252"/>
      <c r="I4" s="252"/>
      <c r="J4" s="252"/>
      <c r="K4" s="69"/>
      <c r="L4" s="69"/>
      <c r="M4" s="70" t="s">
        <v>45</v>
      </c>
      <c r="N4" s="70" t="s">
        <v>46</v>
      </c>
      <c r="O4" s="68"/>
      <c r="P4" s="69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69"/>
      <c r="AB4" s="71" t="s">
        <v>47</v>
      </c>
    </row>
    <row r="5" spans="1:29" ht="13.5" thickTop="1">
      <c r="A5" s="72"/>
      <c r="B5" s="73"/>
      <c r="C5" s="73"/>
      <c r="D5" s="74"/>
      <c r="E5" s="74"/>
      <c r="F5" s="74"/>
      <c r="G5" s="74"/>
      <c r="H5" s="74"/>
      <c r="I5" s="75"/>
      <c r="J5" s="74"/>
      <c r="K5" s="74"/>
      <c r="L5" s="74"/>
      <c r="M5" s="76"/>
      <c r="N5" s="76"/>
      <c r="O5" s="73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7"/>
      <c r="AC5" s="5"/>
    </row>
    <row r="6" spans="1:29" ht="12.75">
      <c r="A6" s="78" t="s">
        <v>34</v>
      </c>
      <c r="B6" s="70" t="s">
        <v>35</v>
      </c>
      <c r="C6" s="79"/>
      <c r="D6" s="69"/>
      <c r="E6" s="80"/>
      <c r="F6" s="69"/>
      <c r="G6" s="80"/>
      <c r="H6" s="69"/>
      <c r="I6" s="80"/>
      <c r="J6" s="69"/>
      <c r="K6" s="69"/>
      <c r="L6" s="69"/>
      <c r="M6" s="81"/>
      <c r="N6" s="81"/>
      <c r="O6" s="68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82"/>
      <c r="AC6" s="4"/>
    </row>
    <row r="7" spans="1:28" ht="12.75">
      <c r="A7" s="83"/>
      <c r="B7" s="84"/>
      <c r="C7" s="84"/>
      <c r="D7" s="85"/>
      <c r="E7" s="85"/>
      <c r="F7" s="85"/>
      <c r="G7" s="85"/>
      <c r="H7" s="85"/>
      <c r="I7" s="85"/>
      <c r="J7" s="85"/>
      <c r="K7" s="85"/>
      <c r="L7" s="85"/>
      <c r="M7" s="96"/>
      <c r="N7" s="96"/>
      <c r="O7" s="84">
        <v>1</v>
      </c>
      <c r="P7" s="85"/>
      <c r="Q7" s="192"/>
      <c r="R7" s="85"/>
      <c r="S7" s="85"/>
      <c r="T7" s="85"/>
      <c r="U7" s="85"/>
      <c r="V7" s="85"/>
      <c r="W7" s="85"/>
      <c r="X7" s="85"/>
      <c r="Y7" s="85"/>
      <c r="Z7" s="85"/>
      <c r="AA7" s="97"/>
      <c r="AB7" s="98"/>
    </row>
    <row r="8" spans="1:28" ht="12.75">
      <c r="A8" s="89"/>
      <c r="B8" s="70" t="s">
        <v>177</v>
      </c>
      <c r="C8" s="99">
        <f>E10</f>
        <v>22.56</v>
      </c>
      <c r="D8" s="91" t="s">
        <v>36</v>
      </c>
      <c r="E8" s="80">
        <f>'洪水1-1'!I12</f>
        <v>0.3</v>
      </c>
      <c r="F8" s="91" t="s">
        <v>36</v>
      </c>
      <c r="G8" s="80">
        <f>'洪水1-1'!M16</f>
        <v>4</v>
      </c>
      <c r="H8" s="91" t="s">
        <v>36</v>
      </c>
      <c r="I8" s="80">
        <f>'洪水1-1'!M24</f>
        <v>1</v>
      </c>
      <c r="J8" s="69"/>
      <c r="K8" s="69"/>
      <c r="L8" s="69"/>
      <c r="M8" s="92">
        <f>ROUND(C8*E8*G8*I8,2)</f>
        <v>27.07</v>
      </c>
      <c r="N8" s="92"/>
      <c r="O8" s="90">
        <v>2</v>
      </c>
      <c r="P8" s="91" t="s">
        <v>36</v>
      </c>
      <c r="Q8" s="153">
        <f>E8</f>
        <v>0.3</v>
      </c>
      <c r="R8" s="91" t="s">
        <v>36</v>
      </c>
      <c r="S8" s="91">
        <f>G8</f>
        <v>4</v>
      </c>
      <c r="T8" s="103"/>
      <c r="U8" s="103"/>
      <c r="V8" s="103"/>
      <c r="W8" s="103"/>
      <c r="X8" s="103"/>
      <c r="Y8" s="103"/>
      <c r="Z8" s="91" t="s">
        <v>16</v>
      </c>
      <c r="AA8" s="94">
        <f>ROUND(Q8*S8/O8,2)</f>
        <v>0.6</v>
      </c>
      <c r="AB8" s="95">
        <f>ROUND(AA8*M8+AA8*N8,2)</f>
        <v>16.24</v>
      </c>
    </row>
    <row r="9" spans="1:28" ht="12" customHeight="1">
      <c r="A9" s="83"/>
      <c r="B9" s="84"/>
      <c r="C9" s="84">
        <v>1</v>
      </c>
      <c r="D9" s="85"/>
      <c r="E9" s="85"/>
      <c r="F9" s="85"/>
      <c r="G9" s="85"/>
      <c r="H9" s="85"/>
      <c r="I9" s="86">
        <v>2</v>
      </c>
      <c r="J9" s="85"/>
      <c r="K9" s="85"/>
      <c r="L9" s="85"/>
      <c r="M9" s="87"/>
      <c r="N9" s="87"/>
      <c r="O9" s="84">
        <v>2</v>
      </c>
      <c r="P9" s="85"/>
      <c r="Q9" s="192"/>
      <c r="R9" s="85"/>
      <c r="S9" s="85"/>
      <c r="T9" s="85"/>
      <c r="U9" s="85"/>
      <c r="V9" s="85"/>
      <c r="W9" s="85"/>
      <c r="X9" s="85"/>
      <c r="Y9" s="85"/>
      <c r="Z9" s="85"/>
      <c r="AA9" s="85"/>
      <c r="AB9" s="88"/>
    </row>
    <row r="10" spans="1:28" ht="12.75">
      <c r="A10" s="89"/>
      <c r="B10" s="70" t="s">
        <v>178</v>
      </c>
      <c r="C10" s="90">
        <v>2</v>
      </c>
      <c r="D10" s="91" t="s">
        <v>36</v>
      </c>
      <c r="E10" s="80">
        <f>'洪水1-1'!K41</f>
        <v>22.56</v>
      </c>
      <c r="F10" s="91" t="s">
        <v>36</v>
      </c>
      <c r="G10" s="80">
        <f>'洪水1-1'!I12</f>
        <v>0.3</v>
      </c>
      <c r="H10" s="91" t="s">
        <v>36</v>
      </c>
      <c r="I10" s="80">
        <f>G8</f>
        <v>4</v>
      </c>
      <c r="J10" s="69"/>
      <c r="K10" s="69"/>
      <c r="L10" s="69"/>
      <c r="M10" s="92">
        <f>ROUND(E10*G10*POWER(I10,2)/C10,2)</f>
        <v>54.14</v>
      </c>
      <c r="N10" s="92"/>
      <c r="O10" s="90">
        <v>3</v>
      </c>
      <c r="P10" s="91" t="s">
        <v>36</v>
      </c>
      <c r="Q10" s="153">
        <f>G10</f>
        <v>0.3</v>
      </c>
      <c r="R10" s="91" t="s">
        <v>36</v>
      </c>
      <c r="S10" s="91">
        <f>I10</f>
        <v>4</v>
      </c>
      <c r="T10" s="103"/>
      <c r="U10" s="103"/>
      <c r="V10" s="103"/>
      <c r="W10" s="103"/>
      <c r="X10" s="103"/>
      <c r="Y10" s="103"/>
      <c r="Z10" s="91" t="s">
        <v>16</v>
      </c>
      <c r="AA10" s="94">
        <f>ROUND(2/3*Q10*S10,2)</f>
        <v>0.8</v>
      </c>
      <c r="AB10" s="95">
        <f>ROUND(AA10*M10+AA10*N10,2)</f>
        <v>43.31</v>
      </c>
    </row>
    <row r="11" spans="1:28" ht="12.75">
      <c r="A11" s="83"/>
      <c r="B11" s="84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96"/>
      <c r="N11" s="96"/>
      <c r="O11" s="84"/>
      <c r="P11" s="85"/>
      <c r="Q11" s="192"/>
      <c r="R11" s="85"/>
      <c r="S11" s="85">
        <v>1</v>
      </c>
      <c r="T11" s="85"/>
      <c r="U11" s="85"/>
      <c r="V11" s="85"/>
      <c r="W11" s="85"/>
      <c r="X11" s="85"/>
      <c r="Y11" s="85"/>
      <c r="Z11" s="85"/>
      <c r="AA11" s="97"/>
      <c r="AB11" s="98"/>
    </row>
    <row r="12" spans="1:28" ht="12.75">
      <c r="A12" s="89"/>
      <c r="B12" s="70" t="s">
        <v>174</v>
      </c>
      <c r="C12" s="99">
        <f>E10</f>
        <v>22.56</v>
      </c>
      <c r="D12" s="91" t="str">
        <f>D10</f>
        <v>×</v>
      </c>
      <c r="E12" s="80">
        <f>'洪水1-1'!H33</f>
        <v>1</v>
      </c>
      <c r="F12" s="91" t="str">
        <f>F10</f>
        <v>×</v>
      </c>
      <c r="G12" s="80">
        <f>'洪水1-1'!B19</f>
        <v>5</v>
      </c>
      <c r="H12" s="80"/>
      <c r="I12" s="80"/>
      <c r="J12" s="69"/>
      <c r="K12" s="69"/>
      <c r="L12" s="69"/>
      <c r="M12" s="92">
        <f>ROUND(C12*E12*G12,2)</f>
        <v>112.8</v>
      </c>
      <c r="N12" s="92"/>
      <c r="O12" s="194">
        <f>Q10</f>
        <v>0.3</v>
      </c>
      <c r="P12" s="91" t="s">
        <v>36</v>
      </c>
      <c r="Q12" s="153">
        <f>S10</f>
        <v>4</v>
      </c>
      <c r="R12" s="91" t="s">
        <v>23</v>
      </c>
      <c r="S12" s="100">
        <v>2</v>
      </c>
      <c r="T12" s="91" t="s">
        <v>36</v>
      </c>
      <c r="U12" s="91">
        <f>E12</f>
        <v>1</v>
      </c>
      <c r="V12" s="103"/>
      <c r="W12" s="103"/>
      <c r="X12" s="103"/>
      <c r="Y12" s="103"/>
      <c r="Z12" s="91" t="s">
        <v>16</v>
      </c>
      <c r="AA12" s="94">
        <f>ROUND(O12*Q12+U12/2,2)</f>
        <v>1.7</v>
      </c>
      <c r="AB12" s="95">
        <f>ROUND(AA12*M12+AA12*N12,2)</f>
        <v>191.76</v>
      </c>
    </row>
    <row r="13" spans="1:28" ht="13.5">
      <c r="A13" s="83"/>
      <c r="B13" s="84"/>
      <c r="C13" s="84">
        <v>1</v>
      </c>
      <c r="D13" s="85"/>
      <c r="E13" s="85"/>
      <c r="F13" s="85"/>
      <c r="G13" s="85"/>
      <c r="H13" s="85"/>
      <c r="I13" s="86">
        <v>2</v>
      </c>
      <c r="J13" s="85"/>
      <c r="K13" s="85"/>
      <c r="L13" s="85"/>
      <c r="M13" s="96"/>
      <c r="N13" s="96"/>
      <c r="O13" s="84"/>
      <c r="P13" s="85"/>
      <c r="Q13" s="192"/>
      <c r="R13" s="85"/>
      <c r="S13" s="85"/>
      <c r="T13" s="85"/>
      <c r="U13" s="85">
        <v>1</v>
      </c>
      <c r="V13" s="85"/>
      <c r="W13" s="85"/>
      <c r="X13" s="85"/>
      <c r="Y13" s="85"/>
      <c r="Z13" s="85"/>
      <c r="AA13" s="97"/>
      <c r="AB13" s="98"/>
    </row>
    <row r="14" spans="1:28" ht="12.75">
      <c r="A14" s="89"/>
      <c r="B14" s="70" t="s">
        <v>175</v>
      </c>
      <c r="C14" s="90">
        <v>2</v>
      </c>
      <c r="D14" s="91" t="str">
        <f>D12</f>
        <v>×</v>
      </c>
      <c r="E14" s="80">
        <f>C12</f>
        <v>22.56</v>
      </c>
      <c r="F14" s="91" t="str">
        <f>F12</f>
        <v>×</v>
      </c>
      <c r="G14" s="80">
        <f>'洪水1-1'!F15</f>
        <v>0.2</v>
      </c>
      <c r="H14" s="91" t="str">
        <f>H10</f>
        <v>×</v>
      </c>
      <c r="I14" s="80">
        <f>G12</f>
        <v>5</v>
      </c>
      <c r="J14" s="69"/>
      <c r="K14" s="69"/>
      <c r="L14" s="69"/>
      <c r="M14" s="92">
        <f>ROUND(E14*G14*POWER(I14,2)/C14,2)</f>
        <v>56.4</v>
      </c>
      <c r="N14" s="92"/>
      <c r="O14" s="194">
        <f>O12</f>
        <v>0.3</v>
      </c>
      <c r="P14" s="91" t="s">
        <v>36</v>
      </c>
      <c r="Q14" s="153">
        <f>Q12</f>
        <v>4</v>
      </c>
      <c r="R14" s="91" t="s">
        <v>23</v>
      </c>
      <c r="S14" s="91">
        <f>U12</f>
        <v>1</v>
      </c>
      <c r="T14" s="91" t="s">
        <v>23</v>
      </c>
      <c r="U14" s="100">
        <v>3</v>
      </c>
      <c r="V14" s="91" t="s">
        <v>36</v>
      </c>
      <c r="W14" s="91">
        <f>G14</f>
        <v>0.2</v>
      </c>
      <c r="X14" s="91" t="s">
        <v>36</v>
      </c>
      <c r="Y14" s="91">
        <f>I14</f>
        <v>5</v>
      </c>
      <c r="Z14" s="91" t="s">
        <v>16</v>
      </c>
      <c r="AA14" s="94">
        <f>ROUND(O14*Q14+S14+W14*Y14/U14,2)</f>
        <v>2.53</v>
      </c>
      <c r="AB14" s="95">
        <f>ROUND(AA14*M14+AA14*N14,2)</f>
        <v>142.69</v>
      </c>
    </row>
    <row r="15" spans="1:28" ht="12.75">
      <c r="A15" s="83"/>
      <c r="B15" s="84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96"/>
      <c r="N15" s="96"/>
      <c r="O15" s="84"/>
      <c r="P15" s="85"/>
      <c r="Q15" s="192"/>
      <c r="R15" s="85"/>
      <c r="S15" s="85"/>
      <c r="T15" s="85"/>
      <c r="U15" s="85"/>
      <c r="V15" s="85"/>
      <c r="W15" s="85"/>
      <c r="X15" s="85"/>
      <c r="Y15" s="85"/>
      <c r="Z15" s="85"/>
      <c r="AA15" s="97"/>
      <c r="AB15" s="98"/>
    </row>
    <row r="16" spans="1:28" ht="12.75">
      <c r="A16" s="78" t="s">
        <v>37</v>
      </c>
      <c r="B16" s="70" t="s">
        <v>38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92"/>
      <c r="N16" s="92"/>
      <c r="O16" s="68"/>
      <c r="P16" s="69"/>
      <c r="Q16" s="193"/>
      <c r="R16" s="69"/>
      <c r="S16" s="69"/>
      <c r="T16" s="69"/>
      <c r="U16" s="69"/>
      <c r="V16" s="69"/>
      <c r="W16" s="69"/>
      <c r="X16" s="69"/>
      <c r="Y16" s="69"/>
      <c r="Z16" s="69"/>
      <c r="AA16" s="94"/>
      <c r="AB16" s="95"/>
    </row>
    <row r="17" spans="1:28" ht="13.5">
      <c r="A17" s="83"/>
      <c r="B17" s="84"/>
      <c r="C17" s="84">
        <v>1</v>
      </c>
      <c r="D17" s="85"/>
      <c r="E17" s="85"/>
      <c r="F17" s="85"/>
      <c r="G17" s="85"/>
      <c r="H17" s="85"/>
      <c r="I17" s="86">
        <v>2</v>
      </c>
      <c r="J17" s="85"/>
      <c r="K17" s="85"/>
      <c r="L17" s="85"/>
      <c r="M17" s="96"/>
      <c r="N17" s="96"/>
      <c r="O17" s="84">
        <v>1</v>
      </c>
      <c r="P17" s="85"/>
      <c r="Q17" s="192"/>
      <c r="R17" s="85"/>
      <c r="S17" s="85"/>
      <c r="T17" s="85"/>
      <c r="U17" s="85"/>
      <c r="V17" s="85"/>
      <c r="W17" s="85"/>
      <c r="X17" s="85"/>
      <c r="Y17" s="85"/>
      <c r="Z17" s="85"/>
      <c r="AA17" s="97"/>
      <c r="AB17" s="98"/>
    </row>
    <row r="18" spans="1:28" ht="12.75">
      <c r="A18" s="89"/>
      <c r="B18" s="70" t="s">
        <v>39</v>
      </c>
      <c r="C18" s="90">
        <v>2</v>
      </c>
      <c r="D18" s="91" t="s">
        <v>36</v>
      </c>
      <c r="E18" s="80">
        <f>'洪水1-1'!K42</f>
        <v>11.77</v>
      </c>
      <c r="F18" s="91" t="s">
        <v>36</v>
      </c>
      <c r="G18" s="80">
        <f>G10</f>
        <v>0.3</v>
      </c>
      <c r="H18" s="91" t="s">
        <v>36</v>
      </c>
      <c r="I18" s="80">
        <f>G8</f>
        <v>4</v>
      </c>
      <c r="J18" s="69"/>
      <c r="K18" s="69"/>
      <c r="L18" s="69"/>
      <c r="M18" s="92">
        <f>ROUND(E18*G18*POWER(I18,2)/C18,2)</f>
        <v>28.25</v>
      </c>
      <c r="N18" s="92"/>
      <c r="O18" s="90">
        <v>3</v>
      </c>
      <c r="P18" s="91" t="s">
        <v>36</v>
      </c>
      <c r="Q18" s="153">
        <f>Q10</f>
        <v>0.3</v>
      </c>
      <c r="R18" s="91" t="s">
        <v>36</v>
      </c>
      <c r="S18" s="91">
        <f>S10</f>
        <v>4</v>
      </c>
      <c r="T18" s="103"/>
      <c r="U18" s="103"/>
      <c r="V18" s="103"/>
      <c r="W18" s="103"/>
      <c r="X18" s="103"/>
      <c r="Y18" s="103"/>
      <c r="Z18" s="91" t="s">
        <v>16</v>
      </c>
      <c r="AA18" s="94">
        <f>ROUND(Q18*S18/O18,2)</f>
        <v>0.4</v>
      </c>
      <c r="AB18" s="95">
        <f>ROUND(AA18*M18+AA18*N18,2)</f>
        <v>11.3</v>
      </c>
    </row>
    <row r="19" spans="1:28" ht="12.75">
      <c r="A19" s="83"/>
      <c r="B19" s="84"/>
      <c r="C19" s="101"/>
      <c r="D19" s="102"/>
      <c r="E19" s="102"/>
      <c r="F19" s="102"/>
      <c r="G19" s="97"/>
      <c r="H19" s="102"/>
      <c r="I19" s="102"/>
      <c r="J19" s="85"/>
      <c r="K19" s="85"/>
      <c r="L19" s="85"/>
      <c r="M19" s="96"/>
      <c r="N19" s="96"/>
      <c r="O19" s="84">
        <v>1</v>
      </c>
      <c r="P19" s="195"/>
      <c r="Q19" s="196"/>
      <c r="R19" s="195"/>
      <c r="S19" s="195"/>
      <c r="T19" s="195"/>
      <c r="U19" s="195"/>
      <c r="V19" s="195"/>
      <c r="W19" s="195"/>
      <c r="X19" s="195"/>
      <c r="Y19" s="195"/>
      <c r="Z19" s="102"/>
      <c r="AA19" s="97"/>
      <c r="AB19" s="98"/>
    </row>
    <row r="20" spans="1:28" ht="12.75">
      <c r="A20" s="89"/>
      <c r="B20" s="70" t="s">
        <v>40</v>
      </c>
      <c r="C20" s="99">
        <f>E18</f>
        <v>11.77</v>
      </c>
      <c r="D20" s="91" t="s">
        <v>36</v>
      </c>
      <c r="E20" s="80">
        <f>'洪水1-1'!B9</f>
        <v>0.9</v>
      </c>
      <c r="F20" s="91" t="s">
        <v>179</v>
      </c>
      <c r="G20" s="80">
        <f>G18</f>
        <v>0.3</v>
      </c>
      <c r="H20" s="91" t="s">
        <v>36</v>
      </c>
      <c r="I20" s="80">
        <f>I18</f>
        <v>4</v>
      </c>
      <c r="J20" s="69"/>
      <c r="K20" s="93"/>
      <c r="L20" s="69"/>
      <c r="M20" s="92">
        <f>ROUND(C20*E20*G20*I20,2)</f>
        <v>12.71</v>
      </c>
      <c r="N20" s="92"/>
      <c r="O20" s="90">
        <v>2</v>
      </c>
      <c r="P20" s="91" t="s">
        <v>180</v>
      </c>
      <c r="Q20" s="153">
        <f>Q18</f>
        <v>0.3</v>
      </c>
      <c r="R20" s="91" t="s">
        <v>36</v>
      </c>
      <c r="S20" s="91">
        <f>S18</f>
        <v>4</v>
      </c>
      <c r="T20" s="103"/>
      <c r="U20" s="103"/>
      <c r="V20" s="103"/>
      <c r="W20" s="103"/>
      <c r="X20" s="103"/>
      <c r="Y20" s="103"/>
      <c r="Z20" s="91" t="s">
        <v>16</v>
      </c>
      <c r="AA20" s="94">
        <f>ROUND(Q20*S20*0.5,2)</f>
        <v>0.6</v>
      </c>
      <c r="AB20" s="95">
        <f>ROUND(AA20*M20+AA20*N20,2)</f>
        <v>7.63</v>
      </c>
    </row>
    <row r="21" spans="1:28" ht="12.75">
      <c r="A21" s="83"/>
      <c r="B21" s="84"/>
      <c r="C21" s="101"/>
      <c r="D21" s="102"/>
      <c r="E21" s="102"/>
      <c r="F21" s="102"/>
      <c r="G21" s="97"/>
      <c r="H21" s="102"/>
      <c r="I21" s="102"/>
      <c r="J21" s="85"/>
      <c r="K21" s="85"/>
      <c r="L21" s="85"/>
      <c r="M21" s="96"/>
      <c r="N21" s="96"/>
      <c r="O21" s="84">
        <v>1</v>
      </c>
      <c r="P21" s="195"/>
      <c r="Q21" s="196"/>
      <c r="R21" s="195"/>
      <c r="S21" s="195"/>
      <c r="T21" s="195"/>
      <c r="U21" s="195"/>
      <c r="V21" s="195"/>
      <c r="W21" s="195"/>
      <c r="X21" s="195"/>
      <c r="Y21" s="195"/>
      <c r="Z21" s="102"/>
      <c r="AA21" s="97"/>
      <c r="AB21" s="98"/>
    </row>
    <row r="22" spans="1:28" ht="12.75">
      <c r="A22" s="89"/>
      <c r="B22" s="70" t="s">
        <v>176</v>
      </c>
      <c r="C22" s="99">
        <f>C20</f>
        <v>11.77</v>
      </c>
      <c r="D22" s="91" t="s">
        <v>36</v>
      </c>
      <c r="E22" s="80">
        <f>E20</f>
        <v>0.9</v>
      </c>
      <c r="F22" s="91" t="s">
        <v>179</v>
      </c>
      <c r="G22" s="80">
        <f>'洪水1-1'!H33</f>
        <v>1</v>
      </c>
      <c r="H22" s="91"/>
      <c r="I22" s="80"/>
      <c r="J22" s="69"/>
      <c r="K22" s="93"/>
      <c r="L22" s="69"/>
      <c r="M22" s="92">
        <f>ROUND(C22*E22*G22,2)</f>
        <v>10.59</v>
      </c>
      <c r="N22" s="92"/>
      <c r="O22" s="90">
        <v>2</v>
      </c>
      <c r="P22" s="91" t="s">
        <v>180</v>
      </c>
      <c r="Q22" s="153">
        <v>1</v>
      </c>
      <c r="R22" s="103" t="s">
        <v>23</v>
      </c>
      <c r="S22" s="91">
        <f>Q20</f>
        <v>0.3</v>
      </c>
      <c r="T22" s="91" t="s">
        <v>36</v>
      </c>
      <c r="U22" s="91">
        <f>S20</f>
        <v>4</v>
      </c>
      <c r="V22" s="91"/>
      <c r="W22" s="103"/>
      <c r="X22" s="103"/>
      <c r="Y22" s="103"/>
      <c r="Z22" s="91" t="s">
        <v>16</v>
      </c>
      <c r="AA22" s="94">
        <f>ROUND(Q22/O22+S22*U22,2)</f>
        <v>1.7</v>
      </c>
      <c r="AB22" s="95">
        <f>ROUND(AA22*M22+AA22*N22,2)</f>
        <v>18</v>
      </c>
    </row>
    <row r="23" spans="1:28" ht="13.5">
      <c r="A23" s="83"/>
      <c r="B23" s="84"/>
      <c r="C23" s="84">
        <v>1</v>
      </c>
      <c r="D23" s="102"/>
      <c r="E23" s="102"/>
      <c r="F23" s="102"/>
      <c r="G23" s="104">
        <v>2</v>
      </c>
      <c r="H23" s="102"/>
      <c r="I23" s="102"/>
      <c r="J23" s="85"/>
      <c r="K23" s="85"/>
      <c r="L23" s="85"/>
      <c r="M23" s="96"/>
      <c r="N23" s="96"/>
      <c r="O23" s="84">
        <v>1</v>
      </c>
      <c r="P23" s="195"/>
      <c r="Q23" s="196"/>
      <c r="R23" s="195"/>
      <c r="S23" s="195"/>
      <c r="T23" s="195"/>
      <c r="U23" s="195"/>
      <c r="V23" s="195"/>
      <c r="W23" s="195"/>
      <c r="X23" s="195"/>
      <c r="Y23" s="195"/>
      <c r="Z23" s="102"/>
      <c r="AA23" s="97"/>
      <c r="AB23" s="98"/>
    </row>
    <row r="24" spans="1:28" ht="12.75">
      <c r="A24" s="89"/>
      <c r="B24" s="70" t="s">
        <v>41</v>
      </c>
      <c r="C24" s="90">
        <v>2</v>
      </c>
      <c r="D24" s="91" t="s">
        <v>36</v>
      </c>
      <c r="E24" s="80">
        <f>C20</f>
        <v>11.77</v>
      </c>
      <c r="F24" s="91" t="s">
        <v>36</v>
      </c>
      <c r="G24" s="80">
        <f>I20</f>
        <v>4</v>
      </c>
      <c r="H24" s="93"/>
      <c r="I24" s="93"/>
      <c r="J24" s="69"/>
      <c r="K24" s="69"/>
      <c r="L24" s="69"/>
      <c r="M24" s="92"/>
      <c r="N24" s="92">
        <f>ROUND(E24*POWER(G24,2)/C24,2)</f>
        <v>94.16</v>
      </c>
      <c r="O24" s="90">
        <v>3</v>
      </c>
      <c r="P24" s="91" t="s">
        <v>36</v>
      </c>
      <c r="Q24" s="153">
        <f>S20</f>
        <v>4</v>
      </c>
      <c r="R24" s="103"/>
      <c r="S24" s="91"/>
      <c r="T24" s="103"/>
      <c r="U24" s="103"/>
      <c r="V24" s="103"/>
      <c r="W24" s="103"/>
      <c r="X24" s="103"/>
      <c r="Y24" s="103"/>
      <c r="Z24" s="91" t="s">
        <v>16</v>
      </c>
      <c r="AA24" s="94">
        <f>ROUND(Q24/O24,2)</f>
        <v>1.33</v>
      </c>
      <c r="AB24" s="95">
        <f>ROUND(AA24*M24+AA24*N24,2)</f>
        <v>125.23</v>
      </c>
    </row>
    <row r="25" spans="1:28" ht="12.75">
      <c r="A25" s="83"/>
      <c r="B25" s="84"/>
      <c r="C25" s="101"/>
      <c r="D25" s="102"/>
      <c r="E25" s="102"/>
      <c r="F25" s="102"/>
      <c r="G25" s="97"/>
      <c r="H25" s="102"/>
      <c r="I25" s="102"/>
      <c r="J25" s="85"/>
      <c r="K25" s="85"/>
      <c r="L25" s="85"/>
      <c r="M25" s="96"/>
      <c r="N25" s="96"/>
      <c r="O25" s="84">
        <v>1</v>
      </c>
      <c r="P25" s="195"/>
      <c r="Q25" s="196"/>
      <c r="R25" s="195"/>
      <c r="S25" s="195"/>
      <c r="T25" s="195"/>
      <c r="U25" s="195"/>
      <c r="V25" s="195"/>
      <c r="W25" s="195"/>
      <c r="X25" s="195"/>
      <c r="Y25" s="195"/>
      <c r="Z25" s="102"/>
      <c r="AA25" s="97"/>
      <c r="AB25" s="98"/>
    </row>
    <row r="26" spans="1:28" ht="12.75">
      <c r="A26" s="89"/>
      <c r="B26" s="70" t="s">
        <v>42</v>
      </c>
      <c r="C26" s="99">
        <f>E24</f>
        <v>11.77</v>
      </c>
      <c r="D26" s="91" t="s">
        <v>36</v>
      </c>
      <c r="E26" s="80">
        <f>E20</f>
        <v>0.9</v>
      </c>
      <c r="F26" s="91" t="s">
        <v>36</v>
      </c>
      <c r="G26" s="80">
        <f>G24</f>
        <v>4</v>
      </c>
      <c r="H26" s="93"/>
      <c r="I26" s="93"/>
      <c r="J26" s="69"/>
      <c r="K26" s="69"/>
      <c r="L26" s="69"/>
      <c r="M26" s="92"/>
      <c r="N26" s="92">
        <f>ROUND(E26*G26*C26,2)</f>
        <v>42.37</v>
      </c>
      <c r="O26" s="90">
        <v>2</v>
      </c>
      <c r="P26" s="91" t="s">
        <v>36</v>
      </c>
      <c r="Q26" s="153">
        <f>Q24</f>
        <v>4</v>
      </c>
      <c r="R26" s="103"/>
      <c r="S26" s="91"/>
      <c r="T26" s="103"/>
      <c r="U26" s="103"/>
      <c r="V26" s="103"/>
      <c r="W26" s="103"/>
      <c r="X26" s="103"/>
      <c r="Y26" s="103"/>
      <c r="Z26" s="91" t="s">
        <v>16</v>
      </c>
      <c r="AA26" s="94">
        <f>ROUND(Q26/O26,2)</f>
        <v>2</v>
      </c>
      <c r="AB26" s="95">
        <f>ROUND(AA26*M26+AA26*N26,2)</f>
        <v>84.74</v>
      </c>
    </row>
    <row r="27" spans="1:28" ht="12.75">
      <c r="A27" s="83"/>
      <c r="B27" s="84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105"/>
      <c r="N27" s="105"/>
      <c r="O27" s="84"/>
      <c r="P27" s="85"/>
      <c r="Q27" s="192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106"/>
    </row>
    <row r="28" spans="1:28" ht="12" customHeight="1">
      <c r="A28" s="89"/>
      <c r="B28" s="68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107"/>
      <c r="N28" s="107"/>
      <c r="O28" s="68"/>
      <c r="P28" s="69"/>
      <c r="Q28" s="19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108"/>
    </row>
    <row r="29" spans="1:28" ht="12.75">
      <c r="A29" s="83"/>
      <c r="B29" s="84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105"/>
      <c r="N29" s="105"/>
      <c r="O29" s="84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106"/>
    </row>
    <row r="30" spans="1:28" ht="12.75">
      <c r="A30" s="89"/>
      <c r="B30" s="68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107"/>
      <c r="N30" s="107"/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108"/>
    </row>
    <row r="31" spans="1:28" ht="12.75">
      <c r="A31" s="83"/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105"/>
      <c r="N31" s="105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106"/>
    </row>
    <row r="32" spans="1:28" ht="12.75">
      <c r="A32" s="89"/>
      <c r="B32" s="68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107"/>
      <c r="N32" s="107"/>
      <c r="O32" s="68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108"/>
    </row>
    <row r="33" spans="1:28" ht="12.75">
      <c r="A33" s="83"/>
      <c r="B33" s="84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105"/>
      <c r="N33" s="105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06"/>
    </row>
    <row r="34" spans="1:28" ht="12.75">
      <c r="A34" s="89"/>
      <c r="B34" s="68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107"/>
      <c r="N34" s="107"/>
      <c r="O34" s="68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108"/>
    </row>
    <row r="35" spans="1:28" ht="12" customHeight="1">
      <c r="A35" s="83"/>
      <c r="B35" s="84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105"/>
      <c r="N35" s="105"/>
      <c r="O35" s="84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106"/>
    </row>
    <row r="36" spans="1:28" ht="12.75">
      <c r="A36" s="89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107"/>
      <c r="N36" s="107"/>
      <c r="O36" s="68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108"/>
    </row>
    <row r="37" spans="1:28" ht="12.75">
      <c r="A37" s="83"/>
      <c r="B37" s="84"/>
      <c r="C37" s="101"/>
      <c r="D37" s="102"/>
      <c r="E37" s="102"/>
      <c r="F37" s="102"/>
      <c r="G37" s="102"/>
      <c r="H37" s="102"/>
      <c r="I37" s="102"/>
      <c r="J37" s="85"/>
      <c r="K37" s="85"/>
      <c r="L37" s="85"/>
      <c r="M37" s="96"/>
      <c r="N37" s="96"/>
      <c r="O37" s="101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98"/>
    </row>
    <row r="38" spans="1:28" ht="12.75">
      <c r="A38" s="89"/>
      <c r="B38" s="68"/>
      <c r="C38" s="109"/>
      <c r="D38" s="93"/>
      <c r="E38" s="93"/>
      <c r="F38" s="93"/>
      <c r="G38" s="93"/>
      <c r="H38" s="93"/>
      <c r="I38" s="93"/>
      <c r="J38" s="69"/>
      <c r="K38" s="69"/>
      <c r="L38" s="69"/>
      <c r="M38" s="92"/>
      <c r="N38" s="92"/>
      <c r="O38" s="109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5"/>
    </row>
    <row r="39" spans="1:28" ht="12.75">
      <c r="A39" s="83"/>
      <c r="B39" s="84"/>
      <c r="C39" s="101"/>
      <c r="D39" s="102"/>
      <c r="E39" s="102"/>
      <c r="F39" s="102"/>
      <c r="G39" s="102"/>
      <c r="H39" s="102"/>
      <c r="I39" s="102"/>
      <c r="J39" s="85"/>
      <c r="K39" s="85"/>
      <c r="L39" s="85"/>
      <c r="M39" s="96" t="s">
        <v>43</v>
      </c>
      <c r="N39" s="96" t="s">
        <v>43</v>
      </c>
      <c r="O39" s="101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98" t="s">
        <v>57</v>
      </c>
    </row>
    <row r="40" spans="1:28" ht="12.75">
      <c r="A40" s="78" t="s">
        <v>44</v>
      </c>
      <c r="B40" s="68"/>
      <c r="C40" s="109"/>
      <c r="D40" s="93"/>
      <c r="E40" s="93"/>
      <c r="F40" s="93"/>
      <c r="G40" s="93"/>
      <c r="H40" s="93"/>
      <c r="I40" s="93"/>
      <c r="J40" s="69"/>
      <c r="K40" s="69"/>
      <c r="L40" s="69"/>
      <c r="M40" s="92">
        <f>SUM(M6:M38)</f>
        <v>301.96</v>
      </c>
      <c r="N40" s="92">
        <f>SUM(N6:N38)</f>
        <v>136.53</v>
      </c>
      <c r="O40" s="109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5">
        <f>SUM(AB6:AB38)</f>
        <v>640.9</v>
      </c>
    </row>
    <row r="41" spans="1:28" ht="12.75">
      <c r="A41" s="83"/>
      <c r="B41" s="84"/>
      <c r="C41" s="101"/>
      <c r="D41" s="102"/>
      <c r="E41" s="102"/>
      <c r="F41" s="102"/>
      <c r="G41" s="102"/>
      <c r="H41" s="102"/>
      <c r="I41" s="102"/>
      <c r="J41" s="85"/>
      <c r="K41" s="85"/>
      <c r="L41" s="85"/>
      <c r="M41" s="87"/>
      <c r="N41" s="87"/>
      <c r="O41" s="101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10"/>
    </row>
    <row r="42" spans="1:28" ht="13.5" thickBot="1">
      <c r="A42" s="111"/>
      <c r="B42" s="112"/>
      <c r="C42" s="113"/>
      <c r="D42" s="114"/>
      <c r="E42" s="114"/>
      <c r="F42" s="114"/>
      <c r="G42" s="114"/>
      <c r="H42" s="114"/>
      <c r="I42" s="114"/>
      <c r="J42" s="115"/>
      <c r="K42" s="115"/>
      <c r="L42" s="115"/>
      <c r="M42" s="116"/>
      <c r="N42" s="116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7"/>
    </row>
    <row r="43" spans="1:28" ht="12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118"/>
    </row>
    <row r="44" spans="1:28" ht="12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ht="12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ht="12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ht="12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ht="12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ht="12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ht="12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ht="12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ht="12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ht="12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ht="12" customHeight="1">
      <c r="A54" s="119"/>
      <c r="B54" s="120"/>
      <c r="C54" s="120"/>
      <c r="D54" s="120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ht="12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ht="12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8" ht="12.75">
      <c r="AC58" s="2"/>
    </row>
    <row r="60" ht="12.75">
      <c r="AC60" s="2"/>
    </row>
    <row r="62" ht="12.75">
      <c r="AC62" s="2"/>
    </row>
  </sheetData>
  <sheetProtection/>
  <mergeCells count="4">
    <mergeCell ref="A3:A4"/>
    <mergeCell ref="B3:B4"/>
    <mergeCell ref="E3:J4"/>
    <mergeCell ref="Q3:Z4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D21" sqref="D21:J21"/>
    </sheetView>
  </sheetViews>
  <sheetFormatPr defaultColWidth="9.50390625" defaultRowHeight="16.5" customHeight="1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95</v>
      </c>
      <c r="R1" s="20"/>
    </row>
    <row r="2" ht="16.5" customHeight="1">
      <c r="A2" s="11"/>
    </row>
    <row r="3" spans="1:19" ht="16.5" customHeight="1">
      <c r="A3" s="261" t="s">
        <v>96</v>
      </c>
      <c r="B3" s="143" t="s">
        <v>97</v>
      </c>
      <c r="C3" s="259" t="s">
        <v>16</v>
      </c>
      <c r="D3" s="145">
        <f>'洪水1-2'!AB40</f>
        <v>640.9</v>
      </c>
      <c r="E3" s="259" t="s">
        <v>16</v>
      </c>
      <c r="F3" s="259">
        <f>D3/D4</f>
        <v>2.12</v>
      </c>
      <c r="G3" s="253" t="s">
        <v>17</v>
      </c>
      <c r="H3" s="119"/>
      <c r="I3" s="119"/>
      <c r="J3" s="119"/>
      <c r="K3" s="119"/>
      <c r="S3" s="20"/>
    </row>
    <row r="4" spans="1:19" ht="16.5" customHeight="1">
      <c r="A4" s="261"/>
      <c r="B4" s="147" t="s">
        <v>98</v>
      </c>
      <c r="C4" s="259"/>
      <c r="D4" s="148">
        <f>'洪水1-2'!M40</f>
        <v>301.96</v>
      </c>
      <c r="E4" s="259"/>
      <c r="F4" s="259"/>
      <c r="G4" s="253"/>
      <c r="H4" s="119"/>
      <c r="I4" s="119"/>
      <c r="J4" s="119"/>
      <c r="K4" s="119"/>
      <c r="S4" s="20"/>
    </row>
    <row r="5" spans="1:26" ht="16.5" customHeight="1">
      <c r="A5" s="11"/>
      <c r="B5" s="119"/>
      <c r="C5" s="119"/>
      <c r="D5" s="119"/>
      <c r="E5" s="119"/>
      <c r="F5" s="119"/>
      <c r="G5" s="119"/>
      <c r="H5" s="119"/>
      <c r="I5" s="119"/>
      <c r="J5" s="119"/>
      <c r="K5" s="119"/>
      <c r="X5" s="20"/>
      <c r="Y5" s="19"/>
      <c r="Z5" s="19"/>
    </row>
    <row r="6" spans="1:25" ht="16.5" customHeight="1">
      <c r="A6" s="11"/>
      <c r="B6" s="146">
        <v>0</v>
      </c>
      <c r="C6" s="153" t="s">
        <v>99</v>
      </c>
      <c r="D6" s="165" t="s">
        <v>100</v>
      </c>
      <c r="E6" s="153" t="s">
        <v>99</v>
      </c>
      <c r="F6" s="152" t="s">
        <v>101</v>
      </c>
      <c r="G6" s="119"/>
      <c r="H6" s="119"/>
      <c r="I6" s="119"/>
      <c r="J6" s="119"/>
      <c r="K6" s="119"/>
      <c r="Y6" s="140"/>
    </row>
    <row r="7" spans="1:18" ht="16.5" customHeight="1">
      <c r="A7" s="11"/>
      <c r="B7" s="146"/>
      <c r="C7" s="153"/>
      <c r="D7" s="165"/>
      <c r="E7" s="153"/>
      <c r="F7" s="152"/>
      <c r="G7" s="119"/>
      <c r="H7" s="119"/>
      <c r="I7" s="144"/>
      <c r="J7" s="152"/>
      <c r="K7" s="144"/>
      <c r="L7" s="139"/>
      <c r="M7" s="136"/>
      <c r="O7" s="136"/>
      <c r="P7" s="137"/>
      <c r="Q7" s="63"/>
      <c r="R7" s="63"/>
    </row>
    <row r="8" spans="1:18" ht="16.5" customHeight="1">
      <c r="A8" s="11"/>
      <c r="B8" s="146">
        <v>0</v>
      </c>
      <c r="C8" s="153" t="str">
        <f>IF(B8&lt;=D8,"≦","＞")</f>
        <v>≦</v>
      </c>
      <c r="D8" s="144">
        <f>F3</f>
        <v>2.12</v>
      </c>
      <c r="E8" s="153" t="str">
        <f>IF(D8&lt;=F8,"≦","＞")</f>
        <v>≦</v>
      </c>
      <c r="F8" s="152">
        <f>'洪水1-1'!F37</f>
        <v>3.2</v>
      </c>
      <c r="G8" s="146" t="str">
        <f>IF(AND(B8&lt;=D8,D8&lt;=F8),"OK","OUT")</f>
        <v>OK</v>
      </c>
      <c r="H8" s="146"/>
      <c r="I8" s="146"/>
      <c r="J8" s="119"/>
      <c r="K8" s="119"/>
      <c r="M8" s="136"/>
      <c r="O8" s="136"/>
      <c r="P8" s="137"/>
      <c r="Q8" s="63"/>
      <c r="R8" s="63"/>
    </row>
    <row r="9" spans="1:18" ht="16.5" customHeight="1">
      <c r="A9" s="11"/>
      <c r="C9" s="138"/>
      <c r="D9" s="138"/>
      <c r="E9" s="138"/>
      <c r="I9" s="136"/>
      <c r="J9" s="137"/>
      <c r="K9" s="136"/>
      <c r="L9" s="139"/>
      <c r="M9" s="136"/>
      <c r="O9" s="136"/>
      <c r="P9" s="137"/>
      <c r="Q9" s="63"/>
      <c r="R9" s="63"/>
    </row>
    <row r="10" spans="1:18" ht="16.5" customHeight="1">
      <c r="A10" s="11"/>
      <c r="C10" s="15" t="s">
        <v>102</v>
      </c>
      <c r="D10" s="17" t="s">
        <v>103</v>
      </c>
      <c r="O10" s="136"/>
      <c r="P10" s="137"/>
      <c r="Q10" s="63"/>
      <c r="R10" s="63"/>
    </row>
    <row r="11" spans="3:4" ht="16.5" customHeight="1">
      <c r="C11" s="15" t="s">
        <v>104</v>
      </c>
      <c r="D11" s="17" t="s">
        <v>61</v>
      </c>
    </row>
    <row r="12" spans="1:18" ht="16.5" customHeight="1">
      <c r="A12" s="11"/>
      <c r="C12" s="15" t="s">
        <v>105</v>
      </c>
      <c r="D12" s="17" t="s">
        <v>106</v>
      </c>
      <c r="O12" s="136"/>
      <c r="P12" s="137"/>
      <c r="Q12" s="63"/>
      <c r="R12" s="63"/>
    </row>
    <row r="13" spans="3:18" ht="16.5" customHeight="1">
      <c r="C13" s="15" t="s">
        <v>107</v>
      </c>
      <c r="D13" s="17" t="s">
        <v>108</v>
      </c>
      <c r="O13" s="136"/>
      <c r="P13" s="137"/>
      <c r="Q13" s="63"/>
      <c r="R13" s="63"/>
    </row>
    <row r="14" ht="16.5" customHeight="1">
      <c r="A14" s="11"/>
    </row>
    <row r="15" ht="16.5" customHeight="1">
      <c r="A15" s="141" t="s">
        <v>109</v>
      </c>
    </row>
    <row r="16" ht="16.5" customHeight="1">
      <c r="A16" s="11"/>
    </row>
    <row r="17" spans="2:10" ht="16.5" customHeight="1">
      <c r="B17" s="261" t="s">
        <v>110</v>
      </c>
      <c r="C17" s="263" t="s">
        <v>111</v>
      </c>
      <c r="D17" s="149" t="s">
        <v>112</v>
      </c>
      <c r="E17" s="149" t="s">
        <v>113</v>
      </c>
      <c r="F17" s="149" t="s">
        <v>114</v>
      </c>
      <c r="G17" s="149" t="s">
        <v>115</v>
      </c>
      <c r="H17" s="149" t="s">
        <v>116</v>
      </c>
      <c r="I17" s="149" t="s">
        <v>117</v>
      </c>
      <c r="J17" s="149" t="s">
        <v>118</v>
      </c>
    </row>
    <row r="18" spans="2:20" ht="16.5" customHeight="1">
      <c r="B18" s="261"/>
      <c r="C18" s="263"/>
      <c r="D18" s="260" t="s">
        <v>119</v>
      </c>
      <c r="E18" s="260"/>
      <c r="F18" s="260"/>
      <c r="G18" s="260"/>
      <c r="H18" s="260"/>
      <c r="I18" s="260"/>
      <c r="J18" s="260"/>
      <c r="S18" s="15"/>
      <c r="T18" s="20"/>
    </row>
    <row r="19" spans="1:10" ht="16.5" customHeight="1">
      <c r="A19" s="135"/>
      <c r="B19" s="19"/>
      <c r="C19" s="19"/>
      <c r="D19" s="154"/>
      <c r="E19" s="119"/>
      <c r="F19" s="119"/>
      <c r="G19" s="119"/>
      <c r="H19" s="119"/>
      <c r="I19" s="119"/>
      <c r="J19" s="119"/>
    </row>
    <row r="20" spans="1:10" ht="16.5" customHeight="1">
      <c r="A20" s="135"/>
      <c r="B20" s="261"/>
      <c r="C20" s="263" t="s">
        <v>120</v>
      </c>
      <c r="D20" s="151">
        <f>'洪水1-1'!K46</f>
        <v>0.7</v>
      </c>
      <c r="E20" s="149" t="s">
        <v>117</v>
      </c>
      <c r="F20" s="151">
        <f>D4</f>
        <v>301.96</v>
      </c>
      <c r="G20" s="149" t="s">
        <v>121</v>
      </c>
      <c r="H20" s="155">
        <f>'洪水1-1'!K48</f>
        <v>330</v>
      </c>
      <c r="I20" s="149" t="s">
        <v>113</v>
      </c>
      <c r="J20" s="151">
        <f>H35</f>
        <v>3.2</v>
      </c>
    </row>
    <row r="21" spans="1:10" ht="16.5" customHeight="1">
      <c r="A21" s="135"/>
      <c r="B21" s="261"/>
      <c r="C21" s="263"/>
      <c r="D21" s="264">
        <f>'洪水1-2'!N40</f>
        <v>136.53</v>
      </c>
      <c r="E21" s="264"/>
      <c r="F21" s="264"/>
      <c r="G21" s="264"/>
      <c r="H21" s="264"/>
      <c r="I21" s="264"/>
      <c r="J21" s="264"/>
    </row>
    <row r="22" spans="1:10" ht="16.5" customHeight="1">
      <c r="A22" s="135"/>
      <c r="B22" s="19"/>
      <c r="C22" s="19"/>
      <c r="D22" s="154"/>
      <c r="E22" s="119"/>
      <c r="F22" s="119"/>
      <c r="G22" s="119"/>
      <c r="H22" s="119"/>
      <c r="I22" s="119"/>
      <c r="J22" s="119"/>
    </row>
    <row r="23" spans="1:10" ht="16.5" customHeight="1">
      <c r="A23" s="135"/>
      <c r="B23" s="19"/>
      <c r="C23" s="14" t="s">
        <v>122</v>
      </c>
      <c r="D23" s="158">
        <f>ROUNDDOWN((D20*F20+H20*J20)/D21,2)</f>
        <v>9.28</v>
      </c>
      <c r="E23" s="154" t="str">
        <f>IF(D23&gt;=F23,"≧","＜")</f>
        <v>≧</v>
      </c>
      <c r="F23" s="156">
        <f>'洪水1-1'!K45</f>
        <v>4</v>
      </c>
      <c r="G23" s="119"/>
      <c r="H23" s="119" t="str">
        <f>IF(D23&lt;F23,"OUT","OK")</f>
        <v>OK</v>
      </c>
      <c r="I23" s="119"/>
      <c r="J23" s="119"/>
    </row>
    <row r="24" spans="3:4" ht="16.5" customHeight="1">
      <c r="C24" s="63"/>
      <c r="D24" s="63"/>
    </row>
    <row r="25" spans="3:4" ht="16.5" customHeight="1">
      <c r="C25" s="18" t="s">
        <v>123</v>
      </c>
      <c r="D25" s="134" t="s">
        <v>124</v>
      </c>
    </row>
    <row r="26" spans="1:4" ht="16.5" customHeight="1">
      <c r="A26" s="138"/>
      <c r="B26" s="63"/>
      <c r="C26" s="18" t="s">
        <v>125</v>
      </c>
      <c r="D26" s="134" t="s">
        <v>12</v>
      </c>
    </row>
    <row r="27" spans="3:18" ht="16.5" customHeight="1">
      <c r="C27" s="15" t="s">
        <v>126</v>
      </c>
      <c r="D27" s="17" t="s">
        <v>108</v>
      </c>
      <c r="O27" s="136"/>
      <c r="P27" s="137"/>
      <c r="Q27" s="63"/>
      <c r="R27" s="63"/>
    </row>
    <row r="28" spans="3:18" ht="16.5" customHeight="1">
      <c r="C28" s="15" t="s">
        <v>127</v>
      </c>
      <c r="D28" s="17" t="s">
        <v>128</v>
      </c>
      <c r="O28" s="136"/>
      <c r="P28" s="137"/>
      <c r="Q28" s="63"/>
      <c r="R28" s="63"/>
    </row>
    <row r="29" spans="3:4" ht="16.5" customHeight="1">
      <c r="C29" s="18" t="s">
        <v>129</v>
      </c>
      <c r="D29" s="134" t="s">
        <v>130</v>
      </c>
    </row>
    <row r="30" spans="3:4" ht="16.5" customHeight="1">
      <c r="C30" s="18"/>
      <c r="D30" s="134" t="s">
        <v>131</v>
      </c>
    </row>
    <row r="31" spans="1:4" ht="16.5" customHeight="1">
      <c r="A31" s="11"/>
      <c r="C31" s="18" t="s">
        <v>132</v>
      </c>
      <c r="D31" s="134" t="s">
        <v>133</v>
      </c>
    </row>
    <row r="32" spans="1:5" ht="16.5" customHeight="1">
      <c r="A32" s="11"/>
      <c r="D32" s="18"/>
      <c r="E32" s="134"/>
    </row>
    <row r="33" spans="1:21" ht="16.5" customHeight="1">
      <c r="A33" s="141" t="s">
        <v>88</v>
      </c>
      <c r="U33" s="20"/>
    </row>
    <row r="34" spans="1:21" ht="16.5" customHeight="1">
      <c r="A34" s="141"/>
      <c r="U34" s="20"/>
    </row>
    <row r="35" spans="1:18" ht="16.5" customHeight="1">
      <c r="A35" s="261" t="s">
        <v>19</v>
      </c>
      <c r="B35" s="265" t="s">
        <v>134</v>
      </c>
      <c r="C35" s="253" t="s">
        <v>20</v>
      </c>
      <c r="D35" s="149" t="s">
        <v>135</v>
      </c>
      <c r="E35" s="259" t="s">
        <v>16</v>
      </c>
      <c r="F35" s="254">
        <f>F3</f>
        <v>2.12</v>
      </c>
      <c r="G35" s="253" t="s">
        <v>20</v>
      </c>
      <c r="H35" s="151">
        <f>'洪水1-1'!F37</f>
        <v>3.2</v>
      </c>
      <c r="I35" s="259" t="s">
        <v>16</v>
      </c>
      <c r="J35" s="254">
        <f>F35-H35/H36</f>
        <v>0.52</v>
      </c>
      <c r="K35" s="253" t="s">
        <v>17</v>
      </c>
      <c r="O35" s="136"/>
      <c r="P35" s="137"/>
      <c r="Q35" s="63"/>
      <c r="R35" s="63"/>
    </row>
    <row r="36" spans="1:18" ht="16.5" customHeight="1">
      <c r="A36" s="261"/>
      <c r="B36" s="265"/>
      <c r="C36" s="253"/>
      <c r="D36" s="119">
        <v>2</v>
      </c>
      <c r="E36" s="259"/>
      <c r="F36" s="254"/>
      <c r="G36" s="253"/>
      <c r="H36" s="119">
        <v>2</v>
      </c>
      <c r="I36" s="259"/>
      <c r="J36" s="254"/>
      <c r="K36" s="253"/>
      <c r="O36" s="136"/>
      <c r="P36" s="137"/>
      <c r="Q36" s="63"/>
      <c r="R36" s="63"/>
    </row>
    <row r="37" spans="1:9" ht="16.5" customHeight="1">
      <c r="A37" s="11"/>
      <c r="I37" s="18"/>
    </row>
    <row r="38" spans="1:16" ht="16.5" customHeight="1">
      <c r="A38" s="257" t="s">
        <v>136</v>
      </c>
      <c r="B38" s="143" t="s">
        <v>137</v>
      </c>
      <c r="C38" s="253" t="s">
        <v>22</v>
      </c>
      <c r="D38" s="253">
        <v>1</v>
      </c>
      <c r="E38" s="253" t="s">
        <v>138</v>
      </c>
      <c r="F38" s="149">
        <v>6</v>
      </c>
      <c r="G38" s="149" t="s">
        <v>24</v>
      </c>
      <c r="H38" s="149" t="s">
        <v>25</v>
      </c>
      <c r="I38" s="253" t="s">
        <v>26</v>
      </c>
      <c r="J38" s="119"/>
      <c r="P38" s="59"/>
    </row>
    <row r="39" spans="1:16" ht="16.5" customHeight="1">
      <c r="A39" s="257"/>
      <c r="B39" s="154" t="s">
        <v>139</v>
      </c>
      <c r="C39" s="253"/>
      <c r="D39" s="253"/>
      <c r="E39" s="253"/>
      <c r="F39" s="258" t="s">
        <v>139</v>
      </c>
      <c r="G39" s="258"/>
      <c r="H39" s="258"/>
      <c r="I39" s="253"/>
      <c r="J39" s="119"/>
      <c r="P39" s="59"/>
    </row>
    <row r="40" spans="1:16" ht="16.5" customHeight="1">
      <c r="A40" s="11"/>
      <c r="B40" s="119"/>
      <c r="C40" s="119"/>
      <c r="D40" s="119"/>
      <c r="E40" s="119"/>
      <c r="F40" s="119"/>
      <c r="G40" s="119"/>
      <c r="H40" s="119"/>
      <c r="I40" s="119"/>
      <c r="J40" s="119"/>
      <c r="P40" s="59"/>
    </row>
    <row r="41" spans="1:16" ht="16.5" customHeight="1">
      <c r="A41" s="262" t="s">
        <v>140</v>
      </c>
      <c r="B41" s="145">
        <f>B47</f>
        <v>301.96</v>
      </c>
      <c r="C41" s="253" t="s">
        <v>22</v>
      </c>
      <c r="D41" s="253">
        <v>1</v>
      </c>
      <c r="E41" s="253" t="s">
        <v>138</v>
      </c>
      <c r="F41" s="149">
        <v>6</v>
      </c>
      <c r="G41" s="149" t="s">
        <v>24</v>
      </c>
      <c r="H41" s="151">
        <f>H47</f>
        <v>0.52</v>
      </c>
      <c r="I41" s="253" t="s">
        <v>27</v>
      </c>
      <c r="J41" s="254">
        <f>B41/B42*(D41-F41*H41/F42)</f>
        <v>2.36</v>
      </c>
      <c r="K41" s="255" t="s">
        <v>141</v>
      </c>
      <c r="L41" s="255"/>
      <c r="P41" s="59"/>
    </row>
    <row r="42" spans="1:16" ht="16.5" customHeight="1">
      <c r="A42" s="262"/>
      <c r="B42" s="157">
        <f>H35</f>
        <v>3.2</v>
      </c>
      <c r="C42" s="253"/>
      <c r="D42" s="253"/>
      <c r="E42" s="253"/>
      <c r="F42" s="256">
        <f>B42</f>
        <v>3.2</v>
      </c>
      <c r="G42" s="256"/>
      <c r="H42" s="256"/>
      <c r="I42" s="253"/>
      <c r="J42" s="254"/>
      <c r="K42" s="255"/>
      <c r="L42" s="255"/>
      <c r="P42" s="59"/>
    </row>
    <row r="43" spans="1:16" ht="16.5" customHeight="1">
      <c r="A43" s="18"/>
      <c r="B43" s="157"/>
      <c r="C43" s="146"/>
      <c r="D43" s="146"/>
      <c r="E43" s="146"/>
      <c r="F43" s="158"/>
      <c r="G43" s="158"/>
      <c r="H43" s="158"/>
      <c r="I43" s="146"/>
      <c r="J43" s="150"/>
      <c r="K43" s="63"/>
      <c r="L43" s="131"/>
      <c r="P43" s="59"/>
    </row>
    <row r="44" spans="1:10" ht="16.5" customHeight="1">
      <c r="A44" s="257" t="s">
        <v>142</v>
      </c>
      <c r="B44" s="143" t="s">
        <v>143</v>
      </c>
      <c r="C44" s="253" t="s">
        <v>22</v>
      </c>
      <c r="D44" s="253">
        <v>1</v>
      </c>
      <c r="E44" s="253" t="s">
        <v>23</v>
      </c>
      <c r="F44" s="149">
        <v>6</v>
      </c>
      <c r="G44" s="149" t="s">
        <v>24</v>
      </c>
      <c r="H44" s="149" t="s">
        <v>25</v>
      </c>
      <c r="I44" s="253" t="s">
        <v>26</v>
      </c>
      <c r="J44" s="119"/>
    </row>
    <row r="45" spans="1:10" ht="16.5" customHeight="1">
      <c r="A45" s="257"/>
      <c r="B45" s="154" t="s">
        <v>144</v>
      </c>
      <c r="C45" s="253"/>
      <c r="D45" s="253"/>
      <c r="E45" s="253"/>
      <c r="F45" s="258" t="s">
        <v>144</v>
      </c>
      <c r="G45" s="258"/>
      <c r="H45" s="258"/>
      <c r="I45" s="253"/>
      <c r="J45" s="119"/>
    </row>
    <row r="46" spans="1:10" ht="16.5" customHeight="1">
      <c r="A46" s="11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2" ht="16.5" customHeight="1">
      <c r="A47" s="262" t="s">
        <v>145</v>
      </c>
      <c r="B47" s="145">
        <f>D4</f>
        <v>301.96</v>
      </c>
      <c r="C47" s="253" t="s">
        <v>22</v>
      </c>
      <c r="D47" s="253">
        <v>1</v>
      </c>
      <c r="E47" s="253" t="s">
        <v>23</v>
      </c>
      <c r="F47" s="149">
        <v>6</v>
      </c>
      <c r="G47" s="149" t="s">
        <v>24</v>
      </c>
      <c r="H47" s="151">
        <f>J35</f>
        <v>0.52</v>
      </c>
      <c r="I47" s="253" t="s">
        <v>27</v>
      </c>
      <c r="J47" s="254">
        <f>B47/B48*(D47+F47*H47/F48)</f>
        <v>186.37</v>
      </c>
      <c r="K47" s="255" t="s">
        <v>141</v>
      </c>
      <c r="L47" s="255"/>
    </row>
    <row r="48" spans="1:12" ht="16.5" customHeight="1">
      <c r="A48" s="262"/>
      <c r="B48" s="159">
        <f>B42</f>
        <v>3.2</v>
      </c>
      <c r="C48" s="253"/>
      <c r="D48" s="253"/>
      <c r="E48" s="253"/>
      <c r="F48" s="256">
        <f>B48</f>
        <v>3.2</v>
      </c>
      <c r="G48" s="256"/>
      <c r="H48" s="256"/>
      <c r="I48" s="253"/>
      <c r="J48" s="254"/>
      <c r="K48" s="255"/>
      <c r="L48" s="255"/>
    </row>
    <row r="49" spans="1:12" ht="16.5" customHeight="1">
      <c r="A49" s="18"/>
      <c r="B49" s="133"/>
      <c r="C49" s="63"/>
      <c r="D49" s="63"/>
      <c r="E49" s="63"/>
      <c r="G49" s="59"/>
      <c r="H49" s="59"/>
      <c r="I49" s="63"/>
      <c r="J49" s="132"/>
      <c r="K49" s="63"/>
      <c r="L49" s="131"/>
    </row>
    <row r="50" spans="1:12" ht="16.5" customHeight="1">
      <c r="A50" s="18"/>
      <c r="C50" s="18" t="s">
        <v>146</v>
      </c>
      <c r="D50" s="134" t="s">
        <v>147</v>
      </c>
      <c r="G50" s="63"/>
      <c r="I50" s="63"/>
      <c r="J50" s="132"/>
      <c r="K50" s="63"/>
      <c r="L50" s="131"/>
    </row>
    <row r="51" spans="1:12" ht="16.5" customHeight="1">
      <c r="A51" s="18"/>
      <c r="B51" s="63"/>
      <c r="C51" s="18" t="s">
        <v>148</v>
      </c>
      <c r="D51" s="134" t="s">
        <v>149</v>
      </c>
      <c r="G51" s="63"/>
      <c r="I51" s="63"/>
      <c r="J51" s="132"/>
      <c r="K51" s="63"/>
      <c r="L51" s="131"/>
    </row>
    <row r="52" spans="1:12" ht="16.5" customHeight="1">
      <c r="A52" s="18"/>
      <c r="C52" s="18" t="s">
        <v>21</v>
      </c>
      <c r="D52" s="16" t="s">
        <v>150</v>
      </c>
      <c r="I52" s="63"/>
      <c r="J52" s="132"/>
      <c r="K52" s="63"/>
      <c r="L52" s="131"/>
    </row>
    <row r="53" spans="1:12" ht="16.5" customHeight="1">
      <c r="A53" s="18"/>
      <c r="B53" s="133"/>
      <c r="C53" s="63"/>
      <c r="D53" s="63"/>
      <c r="E53" s="63"/>
      <c r="G53" s="59"/>
      <c r="H53" s="59"/>
      <c r="I53" s="63"/>
      <c r="J53" s="132"/>
      <c r="K53" s="63"/>
      <c r="L53" s="131"/>
    </row>
    <row r="54" spans="1:12" ht="16.5" customHeight="1">
      <c r="A54" s="18"/>
      <c r="B54" s="142" t="s">
        <v>151</v>
      </c>
      <c r="C54" s="63" t="s">
        <v>152</v>
      </c>
      <c r="D54" s="137">
        <f>J47</f>
        <v>186.37</v>
      </c>
      <c r="E54" s="154" t="str">
        <f>IF(D54&gt;=G54,"＞","≦")</f>
        <v>≦</v>
      </c>
      <c r="F54" s="142" t="s">
        <v>153</v>
      </c>
      <c r="G54" s="160">
        <f>'洪水1-1'!K44</f>
        <v>1180</v>
      </c>
      <c r="H54" s="119" t="s">
        <v>141</v>
      </c>
      <c r="I54" s="119" t="str">
        <f>IF(G54&lt;D54,"OUT","OK")</f>
        <v>OK</v>
      </c>
      <c r="J54" s="16" t="s">
        <v>154</v>
      </c>
      <c r="K54" s="63"/>
      <c r="L54" s="131"/>
    </row>
    <row r="55" spans="1:12" ht="16.5" customHeight="1">
      <c r="A55" s="18"/>
      <c r="B55" s="133"/>
      <c r="C55" s="63"/>
      <c r="D55" s="63"/>
      <c r="E55" s="63"/>
      <c r="G55" s="59"/>
      <c r="H55" s="59"/>
      <c r="I55" s="63"/>
      <c r="J55" s="166"/>
      <c r="K55" s="63"/>
      <c r="L55" s="131"/>
    </row>
    <row r="56" spans="1:12" ht="16.5" customHeight="1">
      <c r="A56" s="18"/>
      <c r="B56" s="142" t="s">
        <v>151</v>
      </c>
      <c r="C56" s="63" t="s">
        <v>152</v>
      </c>
      <c r="D56" s="137">
        <f>J47</f>
        <v>186.37</v>
      </c>
      <c r="E56" s="154" t="str">
        <f>IF(D56&gt;=G56,"＞","≦")</f>
        <v>≦</v>
      </c>
      <c r="F56" s="142" t="s">
        <v>155</v>
      </c>
      <c r="G56" s="160">
        <f>'洪水1-1'!K49</f>
        <v>4500</v>
      </c>
      <c r="H56" s="119" t="s">
        <v>141</v>
      </c>
      <c r="I56" s="119" t="str">
        <f>IF(G56&lt;D56,"OUT","OK")</f>
        <v>OK</v>
      </c>
      <c r="J56" s="166" t="s">
        <v>156</v>
      </c>
      <c r="K56" s="63"/>
      <c r="L56" s="131"/>
    </row>
    <row r="57" spans="1:12" ht="16.5" customHeight="1">
      <c r="A57" s="18"/>
      <c r="B57" s="133"/>
      <c r="C57" s="63"/>
      <c r="D57" s="63"/>
      <c r="E57" s="63"/>
      <c r="G57" s="59"/>
      <c r="H57" s="59"/>
      <c r="I57" s="63"/>
      <c r="J57" s="166"/>
      <c r="K57" s="63"/>
      <c r="L57" s="131"/>
    </row>
    <row r="58" spans="1:12" ht="16.5" customHeight="1">
      <c r="A58" s="18"/>
      <c r="B58" s="142" t="s">
        <v>157</v>
      </c>
      <c r="C58" s="63" t="s">
        <v>152</v>
      </c>
      <c r="D58" s="137">
        <f>J41</f>
        <v>2.36</v>
      </c>
      <c r="E58" s="154" t="str">
        <f>IF(D58&lt;=G58,"＜","≧")</f>
        <v>≧</v>
      </c>
      <c r="F58" s="142"/>
      <c r="G58" s="160">
        <v>0</v>
      </c>
      <c r="H58" s="119" t="s">
        <v>141</v>
      </c>
      <c r="I58" s="119" t="str">
        <f>IF(G58&lt;D58,"OK","OUT")</f>
        <v>OK</v>
      </c>
      <c r="J58" s="166" t="s">
        <v>156</v>
      </c>
      <c r="K58" s="63"/>
      <c r="L58" s="131"/>
    </row>
  </sheetData>
  <sheetProtection/>
  <mergeCells count="48">
    <mergeCell ref="F45:H45"/>
    <mergeCell ref="A47:A48"/>
    <mergeCell ref="C47:C48"/>
    <mergeCell ref="F3:F4"/>
    <mergeCell ref="G3:G4"/>
    <mergeCell ref="A3:A4"/>
    <mergeCell ref="C3:C4"/>
    <mergeCell ref="E3:E4"/>
    <mergeCell ref="B17:B18"/>
    <mergeCell ref="C17:C18"/>
    <mergeCell ref="D18:J18"/>
    <mergeCell ref="B20:B21"/>
    <mergeCell ref="A41:A42"/>
    <mergeCell ref="C41:C42"/>
    <mergeCell ref="D41:D42"/>
    <mergeCell ref="C20:C21"/>
    <mergeCell ref="D21:J21"/>
    <mergeCell ref="A35:A36"/>
    <mergeCell ref="B35:B36"/>
    <mergeCell ref="C35:C36"/>
    <mergeCell ref="E35:E36"/>
    <mergeCell ref="F35:F36"/>
    <mergeCell ref="G35:G36"/>
    <mergeCell ref="I35:I36"/>
    <mergeCell ref="J35:J36"/>
    <mergeCell ref="K35:K36"/>
    <mergeCell ref="A38:A39"/>
    <mergeCell ref="C38:C39"/>
    <mergeCell ref="D38:D39"/>
    <mergeCell ref="E38:E39"/>
    <mergeCell ref="I38:I39"/>
    <mergeCell ref="F39:H39"/>
    <mergeCell ref="E41:E42"/>
    <mergeCell ref="I41:I42"/>
    <mergeCell ref="J41:J42"/>
    <mergeCell ref="K41:L42"/>
    <mergeCell ref="F42:H42"/>
    <mergeCell ref="A44:A45"/>
    <mergeCell ref="C44:C45"/>
    <mergeCell ref="D44:D45"/>
    <mergeCell ref="E44:E45"/>
    <mergeCell ref="I44:I45"/>
    <mergeCell ref="D47:D48"/>
    <mergeCell ref="E47:E48"/>
    <mergeCell ref="I47:I48"/>
    <mergeCell ref="J47:J48"/>
    <mergeCell ref="K47:L48"/>
    <mergeCell ref="F48:H48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r:id="rId1"/>
  <rowBreaks count="2" manualBreakCount="2">
    <brk id="14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5">
      <selection activeCell="N53" sqref="N53"/>
    </sheetView>
  </sheetViews>
  <sheetFormatPr defaultColWidth="8.125" defaultRowHeight="13.5"/>
  <cols>
    <col min="1" max="1" width="3.375" style="1" customWidth="1"/>
    <col min="2" max="2" width="8.125" style="1" customWidth="1"/>
    <col min="3" max="3" width="1.4921875" style="1" customWidth="1"/>
    <col min="4" max="4" width="8.125" style="1" customWidth="1"/>
    <col min="5" max="5" width="1.4921875" style="1" customWidth="1"/>
    <col min="6" max="6" width="8.625" style="1" customWidth="1"/>
    <col min="7" max="7" width="1.4921875" style="1" customWidth="1"/>
    <col min="8" max="8" width="11.375" style="1" customWidth="1"/>
    <col min="9" max="9" width="8.625" style="1" customWidth="1"/>
    <col min="10" max="10" width="4.25390625" style="1" customWidth="1"/>
    <col min="11" max="11" width="6.875" style="1" customWidth="1"/>
    <col min="12" max="12" width="5.625" style="1" customWidth="1"/>
    <col min="13" max="13" width="6.625" style="1" customWidth="1"/>
    <col min="14" max="14" width="5.625" style="1" customWidth="1"/>
    <col min="15" max="16384" width="8.125" style="1" customWidth="1"/>
  </cols>
  <sheetData>
    <row r="1" spans="1:9" ht="18" customHeight="1">
      <c r="A1" s="21" t="s">
        <v>91</v>
      </c>
      <c r="B1" s="22" t="str">
        <f>"安定計算（洪水時）　下流勾配 1:"&amp;FIXED(F15,2)&amp;" 上流勾配 1:"&amp;FIXED(I12,2)</f>
        <v>安定計算（洪水時）　下流勾配 1:0.20 上流勾配 1:0.25</v>
      </c>
      <c r="C1" s="23"/>
      <c r="D1" s="23"/>
      <c r="E1" s="24"/>
      <c r="F1" s="24"/>
      <c r="G1" s="24"/>
      <c r="H1" s="24"/>
      <c r="I1" s="24"/>
    </row>
    <row r="2" ht="12" customHeight="1"/>
    <row r="3" spans="1:4" ht="18" customHeight="1">
      <c r="A3" s="14"/>
      <c r="B3" s="14" t="s">
        <v>7</v>
      </c>
      <c r="C3" s="14"/>
      <c r="D3" s="1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21" t="s">
        <v>70</v>
      </c>
      <c r="L5" s="41" t="s">
        <v>71</v>
      </c>
      <c r="M5" s="41"/>
      <c r="N5" s="14"/>
      <c r="O5" s="14"/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22" t="s">
        <v>72</v>
      </c>
      <c r="L6" s="14"/>
      <c r="M6" s="14"/>
      <c r="N6" s="14"/>
      <c r="O6" s="14"/>
    </row>
    <row r="7" spans="1:15" ht="12.75">
      <c r="A7" s="14"/>
      <c r="B7" s="14"/>
      <c r="C7" s="14"/>
      <c r="D7" s="14"/>
      <c r="E7" s="14"/>
      <c r="F7" s="14"/>
      <c r="G7" s="14"/>
      <c r="H7" s="14" t="s">
        <v>170</v>
      </c>
      <c r="I7" s="14" t="s">
        <v>73</v>
      </c>
      <c r="J7" s="14"/>
      <c r="K7" s="122"/>
      <c r="L7" s="14"/>
      <c r="M7" s="14"/>
      <c r="N7" s="14"/>
      <c r="O7" s="14"/>
    </row>
    <row r="8" spans="1:15" ht="12.75">
      <c r="A8" s="14"/>
      <c r="B8" s="16" t="s">
        <v>74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4"/>
      <c r="B9" s="130">
        <f>'洪水1-1'!B9</f>
        <v>0.9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97">
        <f>'洪水1-1'!I12-0.05</f>
        <v>0.25</v>
      </c>
      <c r="J12" s="14"/>
      <c r="K12" s="14"/>
      <c r="L12" s="14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8" t="s">
        <v>76</v>
      </c>
      <c r="J13" s="14"/>
      <c r="K13" s="14"/>
      <c r="L13" s="14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4"/>
      <c r="B15" s="14"/>
      <c r="C15" s="14"/>
      <c r="D15" s="14"/>
      <c r="E15" s="14"/>
      <c r="F15" s="161">
        <f>'洪水1-1'!F15</f>
        <v>0.2</v>
      </c>
      <c r="G15" s="14"/>
      <c r="H15" s="14"/>
      <c r="I15" s="14"/>
      <c r="J15" s="14"/>
      <c r="K15" s="14"/>
      <c r="L15" s="14"/>
      <c r="M15" s="16" t="s">
        <v>181</v>
      </c>
      <c r="N15" s="14"/>
      <c r="O15" s="14"/>
    </row>
    <row r="16" spans="1:15" ht="12.75">
      <c r="A16" s="14"/>
      <c r="B16" s="14"/>
      <c r="C16" s="14"/>
      <c r="D16" s="14"/>
      <c r="E16" s="14"/>
      <c r="F16" s="14"/>
      <c r="G16" s="14"/>
      <c r="H16" s="14"/>
      <c r="J16" s="14" t="s">
        <v>77</v>
      </c>
      <c r="K16" s="14"/>
      <c r="L16" s="14"/>
      <c r="M16" s="130">
        <f>'洪水1-1'!M16</f>
        <v>4</v>
      </c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 t="s">
        <v>171</v>
      </c>
      <c r="J17" s="14"/>
      <c r="K17" s="14"/>
      <c r="L17" s="14"/>
      <c r="M17" s="14"/>
      <c r="N17" s="14"/>
      <c r="O17" s="14"/>
    </row>
    <row r="18" spans="1:15" ht="12.75">
      <c r="A18" s="14"/>
      <c r="B18" s="16" t="s">
        <v>75</v>
      </c>
      <c r="C18" s="14"/>
      <c r="D18" s="14"/>
      <c r="E18" s="14"/>
      <c r="F18" s="14"/>
      <c r="G18" s="14"/>
      <c r="H18" s="14" t="s">
        <v>172</v>
      </c>
      <c r="J18" s="14"/>
      <c r="K18" s="14" t="s">
        <v>78</v>
      </c>
      <c r="L18" s="14"/>
      <c r="M18" s="14"/>
      <c r="N18" s="14"/>
      <c r="O18" s="14"/>
    </row>
    <row r="19" spans="1:15" ht="12.75">
      <c r="A19" s="14"/>
      <c r="B19" s="130">
        <f>'洪水1-1'!B19</f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K23" s="14"/>
      <c r="L23" s="14"/>
      <c r="M23" s="16" t="s">
        <v>182</v>
      </c>
      <c r="N23" s="14"/>
      <c r="O23" s="14"/>
    </row>
    <row r="24" spans="1:15" ht="12.75">
      <c r="A24" s="14"/>
      <c r="B24" s="14"/>
      <c r="C24" s="14"/>
      <c r="D24" s="14"/>
      <c r="E24" s="14"/>
      <c r="F24" s="14" t="s">
        <v>173</v>
      </c>
      <c r="G24" s="14"/>
      <c r="H24" s="14"/>
      <c r="I24" s="14" t="s">
        <v>52</v>
      </c>
      <c r="J24" s="14"/>
      <c r="K24" s="14"/>
      <c r="L24" s="14"/>
      <c r="M24" s="130">
        <f>B19-M16</f>
        <v>1</v>
      </c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16" t="s">
        <v>53</v>
      </c>
      <c r="G32" s="16"/>
      <c r="H32" s="16" t="s">
        <v>54</v>
      </c>
      <c r="I32" s="16" t="s">
        <v>55</v>
      </c>
      <c r="J32" s="14"/>
      <c r="K32" s="14"/>
      <c r="L32" s="14"/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241">
        <f>B19*F15</f>
        <v>1</v>
      </c>
      <c r="G33" s="241"/>
      <c r="H33" s="59">
        <f>'洪水1-1'!H33</f>
        <v>1</v>
      </c>
      <c r="I33" s="59">
        <f>M16*I12</f>
        <v>1</v>
      </c>
      <c r="J33" s="14"/>
      <c r="K33" s="14"/>
      <c r="L33" s="14"/>
      <c r="M33" s="14"/>
      <c r="N33" s="14"/>
      <c r="O33" s="14"/>
    </row>
    <row r="34" spans="1:15" ht="4.5" customHeight="1">
      <c r="A34" s="14"/>
      <c r="B34" s="14"/>
      <c r="C34" s="14"/>
      <c r="D34" s="14"/>
      <c r="E34" s="14"/>
      <c r="F34" s="59"/>
      <c r="G34" s="59"/>
      <c r="H34" s="59"/>
      <c r="I34" s="59"/>
      <c r="J34" s="14"/>
      <c r="K34" s="14"/>
      <c r="L34" s="14"/>
      <c r="M34" s="14"/>
      <c r="N34" s="14"/>
      <c r="O34" s="14"/>
    </row>
    <row r="35" spans="1:15" ht="4.5" customHeight="1">
      <c r="A35" s="14"/>
      <c r="B35" s="14"/>
      <c r="C35" s="14"/>
      <c r="D35" s="14"/>
      <c r="E35" s="14"/>
      <c r="F35" s="59"/>
      <c r="G35" s="59"/>
      <c r="H35" s="59"/>
      <c r="I35" s="59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59"/>
      <c r="G36" s="59"/>
      <c r="H36" s="125" t="s">
        <v>79</v>
      </c>
      <c r="I36" s="59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241">
        <f>F33+H33+I33</f>
        <v>3</v>
      </c>
      <c r="G37" s="241"/>
      <c r="H37" s="241"/>
      <c r="I37" s="241"/>
      <c r="J37" s="14"/>
      <c r="K37" s="14"/>
      <c r="L37" s="14"/>
      <c r="M37" s="14"/>
      <c r="N37" s="14"/>
      <c r="O37" s="14"/>
    </row>
    <row r="38" spans="1:15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8" customHeight="1">
      <c r="A41" s="14"/>
      <c r="B41" s="14"/>
      <c r="C41" s="14"/>
      <c r="D41" s="14"/>
      <c r="E41" s="14"/>
      <c r="F41" s="14"/>
      <c r="G41" s="14"/>
      <c r="H41" s="14"/>
      <c r="I41" s="18" t="s">
        <v>80</v>
      </c>
      <c r="J41" s="14" t="s">
        <v>48</v>
      </c>
      <c r="K41" s="59">
        <f>'洪水1-1'!K41</f>
        <v>22.56</v>
      </c>
      <c r="L41" s="14" t="s">
        <v>81</v>
      </c>
      <c r="M41" s="14"/>
      <c r="N41" s="14"/>
      <c r="O41" s="14"/>
    </row>
    <row r="42" spans="1:15" ht="18" customHeight="1">
      <c r="A42" s="14"/>
      <c r="B42" s="14"/>
      <c r="C42" s="14"/>
      <c r="D42" s="14"/>
      <c r="E42" s="14"/>
      <c r="F42" s="14"/>
      <c r="G42" s="14"/>
      <c r="H42" s="14"/>
      <c r="I42" s="18" t="s">
        <v>8</v>
      </c>
      <c r="J42" s="14" t="s">
        <v>48</v>
      </c>
      <c r="K42" s="59">
        <f>'洪水1-1'!K42</f>
        <v>11.77</v>
      </c>
      <c r="L42" s="14" t="s">
        <v>81</v>
      </c>
      <c r="M42" s="14"/>
      <c r="N42" s="14"/>
      <c r="O42" s="14"/>
    </row>
    <row r="43" spans="1:15" ht="18" customHeight="1">
      <c r="A43" s="14"/>
      <c r="B43" s="14"/>
      <c r="C43" s="14"/>
      <c r="D43" s="14"/>
      <c r="E43" s="14"/>
      <c r="F43" s="14"/>
      <c r="G43" s="14"/>
      <c r="H43" s="14"/>
      <c r="I43" s="18" t="s">
        <v>9</v>
      </c>
      <c r="J43" s="14" t="s">
        <v>48</v>
      </c>
      <c r="K43" s="14" t="str">
        <f>'洪水1-1'!K43</f>
        <v>軟岩I</v>
      </c>
      <c r="L43" s="14"/>
      <c r="M43" s="14"/>
      <c r="N43" s="14"/>
      <c r="O43" s="14"/>
    </row>
    <row r="44" spans="1:15" ht="18" customHeight="1">
      <c r="A44" s="14"/>
      <c r="B44" s="14"/>
      <c r="C44" s="14"/>
      <c r="D44" s="14"/>
      <c r="E44" s="14"/>
      <c r="F44" s="14"/>
      <c r="G44" s="14"/>
      <c r="H44" s="14"/>
      <c r="I44" s="15" t="s">
        <v>10</v>
      </c>
      <c r="J44" s="14" t="s">
        <v>48</v>
      </c>
      <c r="K44" s="163">
        <f>'洪水1-1'!K44</f>
        <v>1180</v>
      </c>
      <c r="L44" s="14" t="s">
        <v>66</v>
      </c>
      <c r="M44" s="14"/>
      <c r="N44" s="14"/>
      <c r="O44" s="14"/>
    </row>
    <row r="45" spans="1:15" ht="18" customHeight="1">
      <c r="A45" s="14"/>
      <c r="B45" s="14"/>
      <c r="C45" s="14"/>
      <c r="D45" s="14"/>
      <c r="E45" s="14"/>
      <c r="F45" s="14"/>
      <c r="G45" s="14"/>
      <c r="H45" s="14"/>
      <c r="I45" s="18" t="s">
        <v>11</v>
      </c>
      <c r="J45" s="14" t="s">
        <v>48</v>
      </c>
      <c r="K45" s="55">
        <f>'洪水1-1'!K45</f>
        <v>4</v>
      </c>
      <c r="L45" s="14"/>
      <c r="M45" s="14"/>
      <c r="N45" s="14"/>
      <c r="O45" s="14"/>
    </row>
    <row r="46" spans="1:15" ht="18" customHeight="1">
      <c r="A46" s="14"/>
      <c r="B46" s="14"/>
      <c r="C46" s="14"/>
      <c r="D46" s="14"/>
      <c r="E46" s="14"/>
      <c r="F46" s="14"/>
      <c r="G46" s="14"/>
      <c r="H46" s="14"/>
      <c r="I46" s="18" t="s">
        <v>12</v>
      </c>
      <c r="J46" s="14" t="s">
        <v>48</v>
      </c>
      <c r="K46" s="59">
        <f>'洪水1-1'!K46</f>
        <v>0.7</v>
      </c>
      <c r="L46" s="14"/>
      <c r="M46" s="14"/>
      <c r="N46" s="14"/>
      <c r="O46" s="14"/>
    </row>
    <row r="47" spans="1:15" ht="18" customHeight="1">
      <c r="A47" s="14"/>
      <c r="B47" s="14"/>
      <c r="C47" s="14"/>
      <c r="D47" s="14"/>
      <c r="E47" s="14"/>
      <c r="F47" s="14"/>
      <c r="G47" s="14"/>
      <c r="H47" s="14"/>
      <c r="I47" s="18" t="s">
        <v>13</v>
      </c>
      <c r="J47" s="14" t="s">
        <v>48</v>
      </c>
      <c r="K47" s="54">
        <f>'洪水1-1'!K47</f>
        <v>590</v>
      </c>
      <c r="L47" s="14" t="s">
        <v>66</v>
      </c>
      <c r="M47" s="14"/>
      <c r="N47" s="14"/>
      <c r="O47" s="14"/>
    </row>
    <row r="48" spans="1:15" ht="18" customHeight="1">
      <c r="A48" s="14"/>
      <c r="B48" s="14"/>
      <c r="C48" s="14"/>
      <c r="D48" s="14"/>
      <c r="E48" s="14"/>
      <c r="F48" s="14"/>
      <c r="G48" s="14"/>
      <c r="H48" s="14"/>
      <c r="I48" s="18" t="s">
        <v>14</v>
      </c>
      <c r="J48" s="14" t="s">
        <v>48</v>
      </c>
      <c r="K48" s="54">
        <f>'洪水1-1'!K48</f>
        <v>330</v>
      </c>
      <c r="L48" s="14" t="s">
        <v>66</v>
      </c>
      <c r="M48" s="14"/>
      <c r="N48" s="14"/>
      <c r="O48" s="14"/>
    </row>
    <row r="49" spans="1:15" ht="18" customHeight="1">
      <c r="A49" s="14"/>
      <c r="B49" s="14"/>
      <c r="C49" s="14"/>
      <c r="D49" s="14"/>
      <c r="E49" s="14"/>
      <c r="F49" s="14"/>
      <c r="G49" s="14"/>
      <c r="H49" s="14"/>
      <c r="I49" s="18" t="s">
        <v>67</v>
      </c>
      <c r="J49" s="14" t="s">
        <v>48</v>
      </c>
      <c r="K49" s="54">
        <f>'洪水1-1'!K49</f>
        <v>4500</v>
      </c>
      <c r="L49" s="14" t="s">
        <v>66</v>
      </c>
      <c r="M49" s="14"/>
      <c r="N49" s="14"/>
      <c r="O49" s="14"/>
    </row>
    <row r="50" spans="1:15" ht="15" customHeight="1" thickBot="1">
      <c r="A50" s="14"/>
      <c r="B50" s="242" t="s">
        <v>15</v>
      </c>
      <c r="C50" s="242"/>
      <c r="D50" s="24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6" ht="15" customHeight="1">
      <c r="A51" s="14"/>
      <c r="B51" s="243" t="s">
        <v>158</v>
      </c>
      <c r="C51" s="244"/>
      <c r="D51" s="244"/>
      <c r="E51" s="244"/>
      <c r="F51" s="245" t="s">
        <v>159</v>
      </c>
      <c r="G51" s="246"/>
      <c r="H51" s="246"/>
      <c r="I51" s="167">
        <f>'洪水1-3 (2)'!B8</f>
        <v>0</v>
      </c>
      <c r="J51" s="60" t="str">
        <f>'洪水1-3 (2)'!C8</f>
        <v>≦</v>
      </c>
      <c r="K51" s="60">
        <f>'洪水1-3 (2)'!D8</f>
        <v>2.06</v>
      </c>
      <c r="L51" s="60" t="str">
        <f>'洪水1-3 (2)'!E8</f>
        <v>≦</v>
      </c>
      <c r="M51" s="60">
        <f>'洪水1-3 (2)'!F8</f>
        <v>3</v>
      </c>
      <c r="N51" s="173" t="str">
        <f>'洪水1-3 (2)'!G8</f>
        <v>OK</v>
      </c>
      <c r="O51" s="14"/>
      <c r="P51" s="14"/>
    </row>
    <row r="52" spans="1:16" ht="15" customHeight="1">
      <c r="A52" s="14"/>
      <c r="B52" s="229" t="s">
        <v>160</v>
      </c>
      <c r="C52" s="230"/>
      <c r="D52" s="230"/>
      <c r="E52" s="230"/>
      <c r="F52" s="237" t="s">
        <v>161</v>
      </c>
      <c r="G52" s="238"/>
      <c r="H52" s="238"/>
      <c r="I52" s="168">
        <f>'洪水1-3 (2)'!D23</f>
        <v>8.69</v>
      </c>
      <c r="J52" s="61" t="str">
        <f>'洪水1-3 (2)'!E23</f>
        <v>≧</v>
      </c>
      <c r="K52" s="171">
        <f>'洪水1-3 (2)'!F23</f>
        <v>4</v>
      </c>
      <c r="L52" s="171" t="str">
        <f>'洪水1-3 (2)'!H23</f>
        <v>OK</v>
      </c>
      <c r="M52" s="61"/>
      <c r="N52" s="129"/>
      <c r="O52" s="14"/>
      <c r="P52" s="14"/>
    </row>
    <row r="53" spans="1:16" ht="15" customHeight="1">
      <c r="A53" s="14"/>
      <c r="B53" s="231" t="s">
        <v>89</v>
      </c>
      <c r="C53" s="232"/>
      <c r="D53" s="232"/>
      <c r="E53" s="233"/>
      <c r="F53" s="239" t="s">
        <v>63</v>
      </c>
      <c r="G53" s="240"/>
      <c r="H53" s="240"/>
      <c r="I53" s="168">
        <f>'洪水1-3 (2)'!D54</f>
        <v>199</v>
      </c>
      <c r="J53" s="46" t="str">
        <f>'洪水1-3 (2)'!E54</f>
        <v>≦</v>
      </c>
      <c r="K53" s="164">
        <f>'洪水1-3 (2)'!G54</f>
        <v>1180</v>
      </c>
      <c r="L53" s="164" t="str">
        <f>'洪水1-3 (2)'!I54</f>
        <v>OK</v>
      </c>
      <c r="M53" s="46"/>
      <c r="N53" s="174"/>
      <c r="O53" s="14"/>
      <c r="P53" s="14"/>
    </row>
    <row r="54" spans="1:16" ht="15" customHeight="1">
      <c r="A54" s="14"/>
      <c r="B54" s="231"/>
      <c r="C54" s="232"/>
      <c r="D54" s="232"/>
      <c r="E54" s="233"/>
      <c r="F54" s="225" t="s">
        <v>62</v>
      </c>
      <c r="G54" s="226"/>
      <c r="H54" s="226"/>
      <c r="I54" s="168">
        <f>'洪水1-3 (2)'!D56</f>
        <v>199</v>
      </c>
      <c r="J54" s="128" t="str">
        <f>'洪水1-3 (2)'!E56</f>
        <v>≦</v>
      </c>
      <c r="K54" s="164">
        <f>'洪水1-3 (2)'!G56</f>
        <v>4500</v>
      </c>
      <c r="L54" s="164" t="str">
        <f>'洪水1-3 (2)'!I56</f>
        <v>OK</v>
      </c>
      <c r="M54" s="128"/>
      <c r="N54" s="175"/>
      <c r="O54" s="14"/>
      <c r="P54" s="14"/>
    </row>
    <row r="55" spans="1:16" ht="15" customHeight="1" thickBot="1">
      <c r="A55" s="14"/>
      <c r="B55" s="234"/>
      <c r="C55" s="235"/>
      <c r="D55" s="235"/>
      <c r="E55" s="236"/>
      <c r="F55" s="227"/>
      <c r="G55" s="228"/>
      <c r="H55" s="228"/>
      <c r="I55" s="169">
        <f>'洪水1-3 (2)'!D58</f>
        <v>-11.26</v>
      </c>
      <c r="J55" s="170" t="str">
        <f>'洪水1-3 (2)'!E58</f>
        <v>＜</v>
      </c>
      <c r="K55" s="172">
        <f>'洪水1-3 (2)'!G58</f>
        <v>0</v>
      </c>
      <c r="L55" s="172" t="str">
        <f>'洪水1-3 (2)'!I58</f>
        <v>OUT</v>
      </c>
      <c r="M55" s="170"/>
      <c r="N55" s="176"/>
      <c r="O55" s="14"/>
      <c r="P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sheetProtection/>
  <mergeCells count="10">
    <mergeCell ref="B53:E55"/>
    <mergeCell ref="F53:H53"/>
    <mergeCell ref="F54:H55"/>
    <mergeCell ref="F33:G33"/>
    <mergeCell ref="F37:I37"/>
    <mergeCell ref="B50:D50"/>
    <mergeCell ref="B51:E51"/>
    <mergeCell ref="F51:H51"/>
    <mergeCell ref="B52:E52"/>
    <mergeCell ref="F52:H52"/>
  </mergeCells>
  <printOptions/>
  <pageMargins left="1.1811023622047245" right="0.7874015748031497" top="1.1811023622047245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A1" sqref="A1"/>
    </sheetView>
  </sheetViews>
  <sheetFormatPr defaultColWidth="9.50390625" defaultRowHeight="12" customHeight="1"/>
  <cols>
    <col min="1" max="1" width="9.75390625" style="1" customWidth="1"/>
    <col min="2" max="2" width="4.125" style="1" customWidth="1"/>
    <col min="3" max="3" width="5.75390625" style="1" customWidth="1"/>
    <col min="4" max="4" width="2.375" style="1" customWidth="1"/>
    <col min="5" max="5" width="5.75390625" style="1" customWidth="1"/>
    <col min="6" max="6" width="2.875" style="1" customWidth="1"/>
    <col min="7" max="7" width="5.75390625" style="1" customWidth="1"/>
    <col min="8" max="8" width="2.375" style="1" customWidth="1"/>
    <col min="9" max="9" width="5.75390625" style="1" customWidth="1"/>
    <col min="10" max="10" width="2.375" style="1" customWidth="1"/>
    <col min="11" max="11" width="5.75390625" style="1" customWidth="1"/>
    <col min="12" max="12" width="2.375" style="1" customWidth="1"/>
    <col min="13" max="14" width="8.75390625" style="1" customWidth="1"/>
    <col min="15" max="15" width="5.75390625" style="1" customWidth="1"/>
    <col min="16" max="16" width="2.875" style="1" customWidth="1"/>
    <col min="17" max="17" width="5.75390625" style="1" customWidth="1"/>
    <col min="18" max="18" width="2.375" style="1" customWidth="1"/>
    <col min="19" max="19" width="5.75390625" style="1" customWidth="1"/>
    <col min="20" max="20" width="2.375" style="1" customWidth="1"/>
    <col min="21" max="21" width="5.75390625" style="1" customWidth="1"/>
    <col min="22" max="22" width="2.375" style="1" customWidth="1"/>
    <col min="23" max="23" width="5.75390625" style="1" customWidth="1"/>
    <col min="24" max="24" width="2.375" style="1" customWidth="1"/>
    <col min="25" max="25" width="5.75390625" style="1" customWidth="1"/>
    <col min="26" max="26" width="2.375" style="1" customWidth="1"/>
    <col min="27" max="27" width="5.75390625" style="1" customWidth="1"/>
    <col min="28" max="28" width="9.75390625" style="1" customWidth="1"/>
    <col min="29" max="16384" width="9.50390625" style="1" customWidth="1"/>
  </cols>
  <sheetData>
    <row r="1" spans="1:27" ht="18" customHeight="1">
      <c r="A1" s="8"/>
      <c r="F1" s="14"/>
      <c r="G1" s="15" t="s">
        <v>58</v>
      </c>
      <c r="H1" s="16"/>
      <c r="I1" s="17" t="s">
        <v>90</v>
      </c>
      <c r="J1" s="14"/>
      <c r="K1" s="14"/>
      <c r="L1" s="14"/>
      <c r="M1" s="14"/>
      <c r="N1" s="14"/>
      <c r="O1" s="14"/>
      <c r="P1" s="14"/>
      <c r="Q1" s="14"/>
      <c r="U1" s="6"/>
      <c r="W1" s="9"/>
      <c r="Y1" s="6"/>
      <c r="AA1" s="7"/>
    </row>
    <row r="2" spans="6:17" ht="12" customHeight="1" thickBot="1">
      <c r="F2" s="14"/>
      <c r="G2" s="59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8" ht="18" customHeight="1">
      <c r="A3" s="247" t="s">
        <v>28</v>
      </c>
      <c r="B3" s="249" t="s">
        <v>29</v>
      </c>
      <c r="C3" s="64"/>
      <c r="D3" s="65"/>
      <c r="E3" s="251" t="s">
        <v>30</v>
      </c>
      <c r="F3" s="251"/>
      <c r="G3" s="251"/>
      <c r="H3" s="251"/>
      <c r="I3" s="251"/>
      <c r="J3" s="251"/>
      <c r="K3" s="65"/>
      <c r="L3" s="65"/>
      <c r="M3" s="66" t="s">
        <v>31</v>
      </c>
      <c r="N3" s="66" t="s">
        <v>32</v>
      </c>
      <c r="O3" s="64"/>
      <c r="P3" s="65"/>
      <c r="Q3" s="251" t="s">
        <v>33</v>
      </c>
      <c r="R3" s="251"/>
      <c r="S3" s="251"/>
      <c r="T3" s="251"/>
      <c r="U3" s="251"/>
      <c r="V3" s="251"/>
      <c r="W3" s="251"/>
      <c r="X3" s="251"/>
      <c r="Y3" s="251"/>
      <c r="Z3" s="251"/>
      <c r="AA3" s="65"/>
      <c r="AB3" s="67" t="s">
        <v>56</v>
      </c>
    </row>
    <row r="4" spans="1:28" ht="18" customHeight="1" thickBot="1">
      <c r="A4" s="248"/>
      <c r="B4" s="250"/>
      <c r="C4" s="68"/>
      <c r="D4" s="69"/>
      <c r="E4" s="252"/>
      <c r="F4" s="252"/>
      <c r="G4" s="252"/>
      <c r="H4" s="252"/>
      <c r="I4" s="252"/>
      <c r="J4" s="252"/>
      <c r="K4" s="69"/>
      <c r="L4" s="69"/>
      <c r="M4" s="70" t="s">
        <v>45</v>
      </c>
      <c r="N4" s="70" t="s">
        <v>46</v>
      </c>
      <c r="O4" s="68"/>
      <c r="P4" s="69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69"/>
      <c r="AB4" s="71" t="s">
        <v>47</v>
      </c>
    </row>
    <row r="5" spans="1:29" ht="13.5" thickTop="1">
      <c r="A5" s="72"/>
      <c r="B5" s="73"/>
      <c r="C5" s="73"/>
      <c r="D5" s="74"/>
      <c r="E5" s="74"/>
      <c r="F5" s="74"/>
      <c r="G5" s="74"/>
      <c r="H5" s="74"/>
      <c r="I5" s="75"/>
      <c r="J5" s="74"/>
      <c r="K5" s="74"/>
      <c r="L5" s="74"/>
      <c r="M5" s="76"/>
      <c r="N5" s="76"/>
      <c r="O5" s="73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7"/>
      <c r="AC5" s="5"/>
    </row>
    <row r="6" spans="1:29" ht="12.75">
      <c r="A6" s="78" t="s">
        <v>34</v>
      </c>
      <c r="B6" s="70" t="s">
        <v>35</v>
      </c>
      <c r="C6" s="79"/>
      <c r="D6" s="69"/>
      <c r="E6" s="80"/>
      <c r="F6" s="69"/>
      <c r="G6" s="80"/>
      <c r="H6" s="69"/>
      <c r="I6" s="80"/>
      <c r="J6" s="69"/>
      <c r="K6" s="69"/>
      <c r="L6" s="69"/>
      <c r="M6" s="81"/>
      <c r="N6" s="81"/>
      <c r="O6" s="68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82"/>
      <c r="AC6" s="4"/>
    </row>
    <row r="7" spans="1:28" ht="12.75">
      <c r="A7" s="83"/>
      <c r="B7" s="84"/>
      <c r="C7" s="84"/>
      <c r="D7" s="85"/>
      <c r="E7" s="85"/>
      <c r="F7" s="85"/>
      <c r="G7" s="85"/>
      <c r="H7" s="85"/>
      <c r="I7" s="85"/>
      <c r="J7" s="85"/>
      <c r="K7" s="85"/>
      <c r="L7" s="85"/>
      <c r="M7" s="96"/>
      <c r="N7" s="96"/>
      <c r="O7" s="84">
        <v>1</v>
      </c>
      <c r="P7" s="85"/>
      <c r="Q7" s="192"/>
      <c r="R7" s="85"/>
      <c r="S7" s="85"/>
      <c r="T7" s="85"/>
      <c r="U7" s="85"/>
      <c r="V7" s="85"/>
      <c r="W7" s="85"/>
      <c r="X7" s="85"/>
      <c r="Y7" s="85"/>
      <c r="Z7" s="85"/>
      <c r="AA7" s="97"/>
      <c r="AB7" s="98"/>
    </row>
    <row r="8" spans="1:28" ht="12.75">
      <c r="A8" s="89"/>
      <c r="B8" s="70" t="s">
        <v>177</v>
      </c>
      <c r="C8" s="99">
        <f>E10</f>
        <v>22.56</v>
      </c>
      <c r="D8" s="91" t="s">
        <v>36</v>
      </c>
      <c r="E8" s="80">
        <f>'洪水1-1 (2)'!I12</f>
        <v>0.25</v>
      </c>
      <c r="F8" s="91" t="s">
        <v>36</v>
      </c>
      <c r="G8" s="80">
        <f>'洪水1-1 (2)'!M16</f>
        <v>4</v>
      </c>
      <c r="H8" s="91" t="s">
        <v>36</v>
      </c>
      <c r="I8" s="80">
        <f>'洪水1-1 (2)'!M24</f>
        <v>1</v>
      </c>
      <c r="J8" s="69"/>
      <c r="K8" s="69"/>
      <c r="L8" s="69"/>
      <c r="M8" s="92">
        <f>ROUND(C8*E8*G8*I8,2)</f>
        <v>22.56</v>
      </c>
      <c r="N8" s="92"/>
      <c r="O8" s="90">
        <v>2</v>
      </c>
      <c r="P8" s="91" t="s">
        <v>36</v>
      </c>
      <c r="Q8" s="153">
        <f>E8</f>
        <v>0.25</v>
      </c>
      <c r="R8" s="91" t="s">
        <v>36</v>
      </c>
      <c r="S8" s="91">
        <f>G8</f>
        <v>4</v>
      </c>
      <c r="T8" s="103"/>
      <c r="U8" s="103"/>
      <c r="V8" s="103"/>
      <c r="W8" s="103"/>
      <c r="X8" s="103"/>
      <c r="Y8" s="103"/>
      <c r="Z8" s="91" t="s">
        <v>16</v>
      </c>
      <c r="AA8" s="94">
        <f>ROUND(Q8*S8/O8,2)</f>
        <v>0.5</v>
      </c>
      <c r="AB8" s="95">
        <f>ROUND(AA8*M8+AA8*N8,2)</f>
        <v>11.28</v>
      </c>
    </row>
    <row r="9" spans="1:28" ht="12" customHeight="1">
      <c r="A9" s="83"/>
      <c r="B9" s="84"/>
      <c r="C9" s="84">
        <v>1</v>
      </c>
      <c r="D9" s="85"/>
      <c r="E9" s="85"/>
      <c r="F9" s="85"/>
      <c r="G9" s="85"/>
      <c r="H9" s="85"/>
      <c r="I9" s="86">
        <v>2</v>
      </c>
      <c r="J9" s="85"/>
      <c r="K9" s="85"/>
      <c r="L9" s="85"/>
      <c r="M9" s="87"/>
      <c r="N9" s="87"/>
      <c r="O9" s="84">
        <v>2</v>
      </c>
      <c r="P9" s="85"/>
      <c r="Q9" s="192"/>
      <c r="R9" s="85"/>
      <c r="S9" s="85"/>
      <c r="T9" s="85"/>
      <c r="U9" s="85"/>
      <c r="V9" s="85"/>
      <c r="W9" s="85"/>
      <c r="X9" s="85"/>
      <c r="Y9" s="85"/>
      <c r="Z9" s="85"/>
      <c r="AA9" s="85"/>
      <c r="AB9" s="88"/>
    </row>
    <row r="10" spans="1:28" ht="12.75">
      <c r="A10" s="89"/>
      <c r="B10" s="70" t="s">
        <v>178</v>
      </c>
      <c r="C10" s="90">
        <v>2</v>
      </c>
      <c r="D10" s="91" t="s">
        <v>36</v>
      </c>
      <c r="E10" s="80">
        <f>'洪水1-1 (2)'!K41</f>
        <v>22.56</v>
      </c>
      <c r="F10" s="91" t="s">
        <v>36</v>
      </c>
      <c r="G10" s="80">
        <f>'洪水1-1 (2)'!I12</f>
        <v>0.25</v>
      </c>
      <c r="H10" s="91" t="s">
        <v>36</v>
      </c>
      <c r="I10" s="80">
        <f>G8</f>
        <v>4</v>
      </c>
      <c r="J10" s="69"/>
      <c r="K10" s="69"/>
      <c r="L10" s="69"/>
      <c r="M10" s="92">
        <f>ROUND(E10*G10*POWER(I10,2)/C10,2)</f>
        <v>45.12</v>
      </c>
      <c r="N10" s="92"/>
      <c r="O10" s="90">
        <v>3</v>
      </c>
      <c r="P10" s="91" t="s">
        <v>36</v>
      </c>
      <c r="Q10" s="153">
        <f>G10</f>
        <v>0.25</v>
      </c>
      <c r="R10" s="91" t="s">
        <v>36</v>
      </c>
      <c r="S10" s="91">
        <f>I10</f>
        <v>4</v>
      </c>
      <c r="T10" s="103"/>
      <c r="U10" s="103"/>
      <c r="V10" s="103"/>
      <c r="W10" s="103"/>
      <c r="X10" s="103"/>
      <c r="Y10" s="103"/>
      <c r="Z10" s="91" t="s">
        <v>16</v>
      </c>
      <c r="AA10" s="94">
        <f>ROUND(2/3*Q10*S10,2)</f>
        <v>0.67</v>
      </c>
      <c r="AB10" s="95">
        <f>ROUND(AA10*M10+AA10*N10,2)</f>
        <v>30.23</v>
      </c>
    </row>
    <row r="11" spans="1:28" ht="12.75">
      <c r="A11" s="83"/>
      <c r="B11" s="84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96"/>
      <c r="N11" s="96"/>
      <c r="O11" s="84"/>
      <c r="P11" s="85"/>
      <c r="Q11" s="192"/>
      <c r="R11" s="85"/>
      <c r="S11" s="85">
        <v>1</v>
      </c>
      <c r="T11" s="85"/>
      <c r="U11" s="85"/>
      <c r="V11" s="85"/>
      <c r="W11" s="85"/>
      <c r="X11" s="85"/>
      <c r="Y11" s="85"/>
      <c r="Z11" s="85"/>
      <c r="AA11" s="97"/>
      <c r="AB11" s="98"/>
    </row>
    <row r="12" spans="1:28" ht="12.75">
      <c r="A12" s="89"/>
      <c r="B12" s="70" t="s">
        <v>174</v>
      </c>
      <c r="C12" s="99">
        <f>E10</f>
        <v>22.56</v>
      </c>
      <c r="D12" s="91" t="str">
        <f>D10</f>
        <v>×</v>
      </c>
      <c r="E12" s="80">
        <f>'洪水1-1 (2)'!H33</f>
        <v>1</v>
      </c>
      <c r="F12" s="91" t="str">
        <f>F10</f>
        <v>×</v>
      </c>
      <c r="G12" s="80">
        <f>'洪水1-1 (2)'!B19</f>
        <v>5</v>
      </c>
      <c r="H12" s="80"/>
      <c r="I12" s="80"/>
      <c r="J12" s="69"/>
      <c r="K12" s="69"/>
      <c r="L12" s="69"/>
      <c r="M12" s="92">
        <f>ROUND(C12*E12*G12,2)</f>
        <v>112.8</v>
      </c>
      <c r="N12" s="92"/>
      <c r="O12" s="194">
        <f>Q10</f>
        <v>0.25</v>
      </c>
      <c r="P12" s="91" t="s">
        <v>36</v>
      </c>
      <c r="Q12" s="153">
        <f>S10</f>
        <v>4</v>
      </c>
      <c r="R12" s="91" t="s">
        <v>23</v>
      </c>
      <c r="S12" s="100">
        <v>2</v>
      </c>
      <c r="T12" s="91" t="s">
        <v>36</v>
      </c>
      <c r="U12" s="91">
        <f>E12</f>
        <v>1</v>
      </c>
      <c r="V12" s="103"/>
      <c r="W12" s="103"/>
      <c r="X12" s="103"/>
      <c r="Y12" s="103"/>
      <c r="Z12" s="91" t="s">
        <v>16</v>
      </c>
      <c r="AA12" s="94">
        <f>ROUND(O12*Q12+U12/2,2)</f>
        <v>1.5</v>
      </c>
      <c r="AB12" s="95">
        <f>ROUND(AA12*M12+AA12*N12,2)</f>
        <v>169.2</v>
      </c>
    </row>
    <row r="13" spans="1:28" ht="13.5">
      <c r="A13" s="83"/>
      <c r="B13" s="84"/>
      <c r="C13" s="84">
        <v>1</v>
      </c>
      <c r="D13" s="85"/>
      <c r="E13" s="85"/>
      <c r="F13" s="85"/>
      <c r="G13" s="85"/>
      <c r="H13" s="85"/>
      <c r="I13" s="86">
        <v>2</v>
      </c>
      <c r="J13" s="85"/>
      <c r="K13" s="85"/>
      <c r="L13" s="85"/>
      <c r="M13" s="96"/>
      <c r="N13" s="96"/>
      <c r="O13" s="84"/>
      <c r="P13" s="85"/>
      <c r="Q13" s="192"/>
      <c r="R13" s="85"/>
      <c r="S13" s="85"/>
      <c r="T13" s="85"/>
      <c r="U13" s="85">
        <v>1</v>
      </c>
      <c r="V13" s="85"/>
      <c r="W13" s="85"/>
      <c r="X13" s="85"/>
      <c r="Y13" s="85"/>
      <c r="Z13" s="85"/>
      <c r="AA13" s="97"/>
      <c r="AB13" s="98"/>
    </row>
    <row r="14" spans="1:28" ht="12.75">
      <c r="A14" s="89"/>
      <c r="B14" s="70" t="s">
        <v>175</v>
      </c>
      <c r="C14" s="90">
        <v>2</v>
      </c>
      <c r="D14" s="91" t="str">
        <f>D12</f>
        <v>×</v>
      </c>
      <c r="E14" s="80">
        <f>C12</f>
        <v>22.56</v>
      </c>
      <c r="F14" s="91" t="str">
        <f>F12</f>
        <v>×</v>
      </c>
      <c r="G14" s="80">
        <f>'洪水1-1 (2)'!F15</f>
        <v>0.2</v>
      </c>
      <c r="H14" s="91" t="str">
        <f>H10</f>
        <v>×</v>
      </c>
      <c r="I14" s="80">
        <f>G12</f>
        <v>5</v>
      </c>
      <c r="J14" s="69"/>
      <c r="K14" s="69"/>
      <c r="L14" s="69"/>
      <c r="M14" s="92">
        <f>ROUND(E14*G14*POWER(I14,2)/C14,2)</f>
        <v>56.4</v>
      </c>
      <c r="N14" s="92"/>
      <c r="O14" s="194">
        <f>O12</f>
        <v>0.25</v>
      </c>
      <c r="P14" s="91" t="s">
        <v>36</v>
      </c>
      <c r="Q14" s="153">
        <f>Q12</f>
        <v>4</v>
      </c>
      <c r="R14" s="91" t="s">
        <v>23</v>
      </c>
      <c r="S14" s="91">
        <f>U12</f>
        <v>1</v>
      </c>
      <c r="T14" s="91" t="s">
        <v>23</v>
      </c>
      <c r="U14" s="100">
        <v>3</v>
      </c>
      <c r="V14" s="91" t="s">
        <v>36</v>
      </c>
      <c r="W14" s="91">
        <f>G14</f>
        <v>0.2</v>
      </c>
      <c r="X14" s="91" t="s">
        <v>36</v>
      </c>
      <c r="Y14" s="91">
        <f>I14</f>
        <v>5</v>
      </c>
      <c r="Z14" s="91" t="s">
        <v>16</v>
      </c>
      <c r="AA14" s="94">
        <f>ROUND(O14*Q14+S14+W14*Y14/U14,2)</f>
        <v>2.33</v>
      </c>
      <c r="AB14" s="95">
        <f>ROUND(AA14*M14+AA14*N14,2)</f>
        <v>131.41</v>
      </c>
    </row>
    <row r="15" spans="1:28" ht="12.75">
      <c r="A15" s="83"/>
      <c r="B15" s="84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96"/>
      <c r="N15" s="96"/>
      <c r="O15" s="84"/>
      <c r="P15" s="85"/>
      <c r="Q15" s="192"/>
      <c r="R15" s="85"/>
      <c r="S15" s="85"/>
      <c r="T15" s="85"/>
      <c r="U15" s="85"/>
      <c r="V15" s="85"/>
      <c r="W15" s="85"/>
      <c r="X15" s="85"/>
      <c r="Y15" s="85"/>
      <c r="Z15" s="85"/>
      <c r="AA15" s="97"/>
      <c r="AB15" s="98"/>
    </row>
    <row r="16" spans="1:28" ht="12.75">
      <c r="A16" s="78" t="s">
        <v>37</v>
      </c>
      <c r="B16" s="70" t="s">
        <v>38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92"/>
      <c r="N16" s="92"/>
      <c r="O16" s="68"/>
      <c r="P16" s="69"/>
      <c r="Q16" s="193"/>
      <c r="R16" s="69"/>
      <c r="S16" s="69"/>
      <c r="T16" s="69"/>
      <c r="U16" s="69"/>
      <c r="V16" s="69"/>
      <c r="W16" s="69"/>
      <c r="X16" s="69"/>
      <c r="Y16" s="69"/>
      <c r="Z16" s="69"/>
      <c r="AA16" s="94"/>
      <c r="AB16" s="95"/>
    </row>
    <row r="17" spans="1:28" ht="13.5">
      <c r="A17" s="83"/>
      <c r="B17" s="84"/>
      <c r="C17" s="84">
        <v>1</v>
      </c>
      <c r="D17" s="85"/>
      <c r="E17" s="85"/>
      <c r="F17" s="85"/>
      <c r="G17" s="85"/>
      <c r="H17" s="85"/>
      <c r="I17" s="86">
        <v>2</v>
      </c>
      <c r="J17" s="85"/>
      <c r="K17" s="85"/>
      <c r="L17" s="85"/>
      <c r="M17" s="96"/>
      <c r="N17" s="96"/>
      <c r="O17" s="84">
        <v>1</v>
      </c>
      <c r="P17" s="85"/>
      <c r="Q17" s="192"/>
      <c r="R17" s="85"/>
      <c r="S17" s="85"/>
      <c r="T17" s="85"/>
      <c r="U17" s="85"/>
      <c r="V17" s="85"/>
      <c r="W17" s="85"/>
      <c r="X17" s="85"/>
      <c r="Y17" s="85"/>
      <c r="Z17" s="85"/>
      <c r="AA17" s="97"/>
      <c r="AB17" s="98"/>
    </row>
    <row r="18" spans="1:28" ht="12.75">
      <c r="A18" s="89"/>
      <c r="B18" s="70" t="s">
        <v>39</v>
      </c>
      <c r="C18" s="90">
        <v>2</v>
      </c>
      <c r="D18" s="91" t="s">
        <v>36</v>
      </c>
      <c r="E18" s="80">
        <f>'洪水1-1 (2)'!K42</f>
        <v>11.77</v>
      </c>
      <c r="F18" s="91" t="s">
        <v>36</v>
      </c>
      <c r="G18" s="80">
        <f>G10</f>
        <v>0.25</v>
      </c>
      <c r="H18" s="91" t="s">
        <v>36</v>
      </c>
      <c r="I18" s="80">
        <f>G8</f>
        <v>4</v>
      </c>
      <c r="J18" s="69"/>
      <c r="K18" s="69"/>
      <c r="L18" s="69"/>
      <c r="M18" s="92">
        <f>ROUND(E18*G18*POWER(I18,2)/C18,2)</f>
        <v>23.54</v>
      </c>
      <c r="N18" s="92"/>
      <c r="O18" s="90">
        <v>3</v>
      </c>
      <c r="P18" s="91" t="s">
        <v>36</v>
      </c>
      <c r="Q18" s="153">
        <f>Q10</f>
        <v>0.25</v>
      </c>
      <c r="R18" s="91" t="s">
        <v>36</v>
      </c>
      <c r="S18" s="91">
        <f>S10</f>
        <v>4</v>
      </c>
      <c r="T18" s="103"/>
      <c r="U18" s="103"/>
      <c r="V18" s="103"/>
      <c r="W18" s="103"/>
      <c r="X18" s="103"/>
      <c r="Y18" s="103"/>
      <c r="Z18" s="91" t="s">
        <v>16</v>
      </c>
      <c r="AA18" s="94">
        <f>ROUND(Q18*S18/O18,2)</f>
        <v>0.33</v>
      </c>
      <c r="AB18" s="95">
        <f>ROUND(AA18*M18+AA18*N18,2)</f>
        <v>7.77</v>
      </c>
    </row>
    <row r="19" spans="1:28" ht="12.75">
      <c r="A19" s="83"/>
      <c r="B19" s="84"/>
      <c r="C19" s="101"/>
      <c r="D19" s="102"/>
      <c r="E19" s="102"/>
      <c r="F19" s="102"/>
      <c r="G19" s="97"/>
      <c r="H19" s="102"/>
      <c r="I19" s="102"/>
      <c r="J19" s="85"/>
      <c r="K19" s="85"/>
      <c r="L19" s="85"/>
      <c r="M19" s="96"/>
      <c r="N19" s="96"/>
      <c r="O19" s="84">
        <v>1</v>
      </c>
      <c r="P19" s="195"/>
      <c r="Q19" s="196"/>
      <c r="R19" s="195"/>
      <c r="S19" s="195"/>
      <c r="T19" s="195"/>
      <c r="U19" s="195"/>
      <c r="V19" s="195"/>
      <c r="W19" s="195"/>
      <c r="X19" s="195"/>
      <c r="Y19" s="195"/>
      <c r="Z19" s="102"/>
      <c r="AA19" s="97"/>
      <c r="AB19" s="98"/>
    </row>
    <row r="20" spans="1:28" ht="12.75">
      <c r="A20" s="89"/>
      <c r="B20" s="70" t="s">
        <v>40</v>
      </c>
      <c r="C20" s="99">
        <f>E18</f>
        <v>11.77</v>
      </c>
      <c r="D20" s="91" t="s">
        <v>36</v>
      </c>
      <c r="E20" s="80">
        <f>'洪水1-1 (2)'!B9</f>
        <v>0.9</v>
      </c>
      <c r="F20" s="91" t="s">
        <v>179</v>
      </c>
      <c r="G20" s="80">
        <f>G18</f>
        <v>0.25</v>
      </c>
      <c r="H20" s="91" t="s">
        <v>36</v>
      </c>
      <c r="I20" s="80">
        <f>I18</f>
        <v>4</v>
      </c>
      <c r="J20" s="69"/>
      <c r="K20" s="93"/>
      <c r="L20" s="69"/>
      <c r="M20" s="92">
        <f>ROUND(C20*E20*G20*I20,2)</f>
        <v>10.59</v>
      </c>
      <c r="N20" s="92"/>
      <c r="O20" s="90">
        <v>2</v>
      </c>
      <c r="P20" s="91" t="s">
        <v>180</v>
      </c>
      <c r="Q20" s="153">
        <f>Q18</f>
        <v>0.25</v>
      </c>
      <c r="R20" s="91" t="s">
        <v>36</v>
      </c>
      <c r="S20" s="91">
        <f>S18</f>
        <v>4</v>
      </c>
      <c r="T20" s="103"/>
      <c r="U20" s="103"/>
      <c r="V20" s="103"/>
      <c r="W20" s="103"/>
      <c r="X20" s="103"/>
      <c r="Y20" s="103"/>
      <c r="Z20" s="91" t="s">
        <v>16</v>
      </c>
      <c r="AA20" s="94">
        <f>ROUND(Q20*S20*0.5,2)</f>
        <v>0.5</v>
      </c>
      <c r="AB20" s="95">
        <f>ROUND(AA20*M20+AA20*N20,2)</f>
        <v>5.3</v>
      </c>
    </row>
    <row r="21" spans="1:28" ht="12.75">
      <c r="A21" s="83"/>
      <c r="B21" s="84"/>
      <c r="C21" s="101"/>
      <c r="D21" s="102"/>
      <c r="E21" s="102"/>
      <c r="F21" s="102"/>
      <c r="G21" s="97"/>
      <c r="H21" s="102"/>
      <c r="I21" s="102"/>
      <c r="J21" s="85"/>
      <c r="K21" s="85"/>
      <c r="L21" s="85"/>
      <c r="M21" s="96"/>
      <c r="N21" s="96"/>
      <c r="O21" s="84">
        <v>1</v>
      </c>
      <c r="P21" s="195"/>
      <c r="Q21" s="196"/>
      <c r="R21" s="195"/>
      <c r="S21" s="195"/>
      <c r="T21" s="195"/>
      <c r="U21" s="195"/>
      <c r="V21" s="195"/>
      <c r="W21" s="195"/>
      <c r="X21" s="195"/>
      <c r="Y21" s="195"/>
      <c r="Z21" s="102"/>
      <c r="AA21" s="97"/>
      <c r="AB21" s="98"/>
    </row>
    <row r="22" spans="1:28" ht="12.75">
      <c r="A22" s="89"/>
      <c r="B22" s="70" t="s">
        <v>176</v>
      </c>
      <c r="C22" s="99">
        <f>C20</f>
        <v>11.77</v>
      </c>
      <c r="D22" s="91" t="s">
        <v>36</v>
      </c>
      <c r="E22" s="80">
        <f>E20</f>
        <v>0.9</v>
      </c>
      <c r="F22" s="91" t="s">
        <v>179</v>
      </c>
      <c r="G22" s="80">
        <f>'洪水1-1 (2)'!H33</f>
        <v>1</v>
      </c>
      <c r="H22" s="91"/>
      <c r="I22" s="80"/>
      <c r="J22" s="69"/>
      <c r="K22" s="93"/>
      <c r="L22" s="69"/>
      <c r="M22" s="92">
        <f>ROUND(C22*E22*G22,2)</f>
        <v>10.59</v>
      </c>
      <c r="N22" s="92"/>
      <c r="O22" s="90">
        <v>2</v>
      </c>
      <c r="P22" s="91" t="s">
        <v>180</v>
      </c>
      <c r="Q22" s="153">
        <v>1</v>
      </c>
      <c r="R22" s="103" t="s">
        <v>23</v>
      </c>
      <c r="S22" s="91">
        <f>Q20</f>
        <v>0.25</v>
      </c>
      <c r="T22" s="91" t="s">
        <v>36</v>
      </c>
      <c r="U22" s="91">
        <f>S20</f>
        <v>4</v>
      </c>
      <c r="V22" s="91"/>
      <c r="W22" s="103"/>
      <c r="X22" s="103"/>
      <c r="Y22" s="103"/>
      <c r="Z22" s="91" t="s">
        <v>16</v>
      </c>
      <c r="AA22" s="94">
        <f>ROUND(Q22/O22+S22*U22,2)</f>
        <v>1.5</v>
      </c>
      <c r="AB22" s="95">
        <f>ROUND(AA22*M22+AA22*N22,2)</f>
        <v>15.89</v>
      </c>
    </row>
    <row r="23" spans="1:28" ht="13.5">
      <c r="A23" s="83"/>
      <c r="B23" s="84"/>
      <c r="C23" s="84">
        <v>1</v>
      </c>
      <c r="D23" s="102"/>
      <c r="E23" s="102"/>
      <c r="F23" s="102"/>
      <c r="G23" s="104">
        <v>2</v>
      </c>
      <c r="H23" s="102"/>
      <c r="I23" s="102"/>
      <c r="J23" s="85"/>
      <c r="K23" s="85"/>
      <c r="L23" s="85"/>
      <c r="M23" s="96"/>
      <c r="N23" s="96"/>
      <c r="O23" s="84">
        <v>1</v>
      </c>
      <c r="P23" s="195"/>
      <c r="Q23" s="196"/>
      <c r="R23" s="195"/>
      <c r="S23" s="195"/>
      <c r="T23" s="195"/>
      <c r="U23" s="195"/>
      <c r="V23" s="195"/>
      <c r="W23" s="195"/>
      <c r="X23" s="195"/>
      <c r="Y23" s="195"/>
      <c r="Z23" s="102"/>
      <c r="AA23" s="97"/>
      <c r="AB23" s="98"/>
    </row>
    <row r="24" spans="1:28" ht="12.75">
      <c r="A24" s="89"/>
      <c r="B24" s="70" t="s">
        <v>41</v>
      </c>
      <c r="C24" s="90">
        <v>2</v>
      </c>
      <c r="D24" s="91" t="s">
        <v>36</v>
      </c>
      <c r="E24" s="80">
        <f>C20</f>
        <v>11.77</v>
      </c>
      <c r="F24" s="91" t="s">
        <v>36</v>
      </c>
      <c r="G24" s="80">
        <f>I20</f>
        <v>4</v>
      </c>
      <c r="H24" s="93"/>
      <c r="I24" s="93"/>
      <c r="J24" s="69"/>
      <c r="K24" s="69"/>
      <c r="L24" s="69"/>
      <c r="M24" s="92"/>
      <c r="N24" s="92">
        <f>ROUND(E24*POWER(G24,2)/C24,2)</f>
        <v>94.16</v>
      </c>
      <c r="O24" s="90">
        <v>3</v>
      </c>
      <c r="P24" s="91" t="s">
        <v>36</v>
      </c>
      <c r="Q24" s="153">
        <f>S20</f>
        <v>4</v>
      </c>
      <c r="R24" s="103"/>
      <c r="S24" s="91"/>
      <c r="T24" s="103"/>
      <c r="U24" s="103"/>
      <c r="V24" s="103"/>
      <c r="W24" s="103"/>
      <c r="X24" s="103"/>
      <c r="Y24" s="103"/>
      <c r="Z24" s="91" t="s">
        <v>16</v>
      </c>
      <c r="AA24" s="94">
        <f>ROUND(Q24/O24,2)</f>
        <v>1.33</v>
      </c>
      <c r="AB24" s="95">
        <f>ROUND(AA24*M24+AA24*N24,2)</f>
        <v>125.23</v>
      </c>
    </row>
    <row r="25" spans="1:28" ht="12.75">
      <c r="A25" s="83"/>
      <c r="B25" s="84"/>
      <c r="C25" s="101"/>
      <c r="D25" s="102"/>
      <c r="E25" s="102"/>
      <c r="F25" s="102"/>
      <c r="G25" s="97"/>
      <c r="H25" s="102"/>
      <c r="I25" s="102"/>
      <c r="J25" s="85"/>
      <c r="K25" s="85"/>
      <c r="L25" s="85"/>
      <c r="M25" s="96"/>
      <c r="N25" s="96"/>
      <c r="O25" s="84">
        <v>1</v>
      </c>
      <c r="P25" s="195"/>
      <c r="Q25" s="196"/>
      <c r="R25" s="195"/>
      <c r="S25" s="195"/>
      <c r="T25" s="195"/>
      <c r="U25" s="195"/>
      <c r="V25" s="195"/>
      <c r="W25" s="195"/>
      <c r="X25" s="195"/>
      <c r="Y25" s="195"/>
      <c r="Z25" s="102"/>
      <c r="AA25" s="97"/>
      <c r="AB25" s="98"/>
    </row>
    <row r="26" spans="1:28" ht="12.75">
      <c r="A26" s="89"/>
      <c r="B26" s="70" t="s">
        <v>42</v>
      </c>
      <c r="C26" s="99">
        <f>E24</f>
        <v>11.77</v>
      </c>
      <c r="D26" s="91" t="s">
        <v>36</v>
      </c>
      <c r="E26" s="80">
        <f>E20</f>
        <v>0.9</v>
      </c>
      <c r="F26" s="91" t="s">
        <v>36</v>
      </c>
      <c r="G26" s="80">
        <f>G24</f>
        <v>4</v>
      </c>
      <c r="H26" s="93"/>
      <c r="I26" s="93"/>
      <c r="J26" s="69"/>
      <c r="K26" s="69"/>
      <c r="L26" s="69"/>
      <c r="M26" s="92"/>
      <c r="N26" s="92">
        <f>ROUND(E26*G26*C26,2)</f>
        <v>42.37</v>
      </c>
      <c r="O26" s="90">
        <v>2</v>
      </c>
      <c r="P26" s="91" t="s">
        <v>36</v>
      </c>
      <c r="Q26" s="153">
        <f>Q24</f>
        <v>4</v>
      </c>
      <c r="R26" s="103"/>
      <c r="S26" s="91"/>
      <c r="T26" s="103"/>
      <c r="U26" s="103"/>
      <c r="V26" s="103"/>
      <c r="W26" s="103"/>
      <c r="X26" s="103"/>
      <c r="Y26" s="103"/>
      <c r="Z26" s="91" t="s">
        <v>16</v>
      </c>
      <c r="AA26" s="94">
        <f>ROUND(Q26/O26,2)</f>
        <v>2</v>
      </c>
      <c r="AB26" s="95">
        <f>ROUND(AA26*M26+AA26*N26,2)</f>
        <v>84.74</v>
      </c>
    </row>
    <row r="27" spans="1:28" ht="12.75">
      <c r="A27" s="83"/>
      <c r="B27" s="84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105"/>
      <c r="N27" s="105"/>
      <c r="O27" s="84"/>
      <c r="P27" s="85"/>
      <c r="Q27" s="192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106"/>
    </row>
    <row r="28" spans="1:28" ht="12" customHeight="1">
      <c r="A28" s="89"/>
      <c r="B28" s="68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107"/>
      <c r="N28" s="107"/>
      <c r="O28" s="68"/>
      <c r="P28" s="69"/>
      <c r="Q28" s="19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108"/>
    </row>
    <row r="29" spans="1:28" ht="12.75">
      <c r="A29" s="83"/>
      <c r="B29" s="84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105"/>
      <c r="N29" s="105"/>
      <c r="O29" s="84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106"/>
    </row>
    <row r="30" spans="1:28" ht="12.75">
      <c r="A30" s="89"/>
      <c r="B30" s="68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107"/>
      <c r="N30" s="107"/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108"/>
    </row>
    <row r="31" spans="1:28" ht="12.75">
      <c r="A31" s="83"/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105"/>
      <c r="N31" s="105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106"/>
    </row>
    <row r="32" spans="1:28" ht="12.75">
      <c r="A32" s="89"/>
      <c r="B32" s="68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107"/>
      <c r="N32" s="107"/>
      <c r="O32" s="68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108"/>
    </row>
    <row r="33" spans="1:28" ht="12.75">
      <c r="A33" s="83"/>
      <c r="B33" s="84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105"/>
      <c r="N33" s="105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06"/>
    </row>
    <row r="34" spans="1:28" ht="12.75">
      <c r="A34" s="89"/>
      <c r="B34" s="68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107"/>
      <c r="N34" s="107"/>
      <c r="O34" s="68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108"/>
    </row>
    <row r="35" spans="1:28" ht="12" customHeight="1">
      <c r="A35" s="83"/>
      <c r="B35" s="84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105"/>
      <c r="N35" s="105"/>
      <c r="O35" s="84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106"/>
    </row>
    <row r="36" spans="1:28" ht="12.75">
      <c r="A36" s="89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107"/>
      <c r="N36" s="107"/>
      <c r="O36" s="68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108"/>
    </row>
    <row r="37" spans="1:28" ht="12.75">
      <c r="A37" s="83"/>
      <c r="B37" s="84"/>
      <c r="C37" s="101"/>
      <c r="D37" s="102"/>
      <c r="E37" s="102"/>
      <c r="F37" s="102"/>
      <c r="G37" s="102"/>
      <c r="H37" s="102"/>
      <c r="I37" s="102"/>
      <c r="J37" s="85"/>
      <c r="K37" s="85"/>
      <c r="L37" s="85"/>
      <c r="M37" s="96"/>
      <c r="N37" s="96"/>
      <c r="O37" s="101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98"/>
    </row>
    <row r="38" spans="1:28" ht="12.75">
      <c r="A38" s="89"/>
      <c r="B38" s="68"/>
      <c r="C38" s="109"/>
      <c r="D38" s="93"/>
      <c r="E38" s="93"/>
      <c r="F38" s="93"/>
      <c r="G38" s="93"/>
      <c r="H38" s="93"/>
      <c r="I38" s="93"/>
      <c r="J38" s="69"/>
      <c r="K38" s="69"/>
      <c r="L38" s="69"/>
      <c r="M38" s="92"/>
      <c r="N38" s="92"/>
      <c r="O38" s="109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5"/>
    </row>
    <row r="39" spans="1:28" ht="12.75">
      <c r="A39" s="83"/>
      <c r="B39" s="84"/>
      <c r="C39" s="101"/>
      <c r="D39" s="102"/>
      <c r="E39" s="102"/>
      <c r="F39" s="102"/>
      <c r="G39" s="102"/>
      <c r="H39" s="102"/>
      <c r="I39" s="102"/>
      <c r="J39" s="85"/>
      <c r="K39" s="85"/>
      <c r="L39" s="85"/>
      <c r="M39" s="96" t="s">
        <v>43</v>
      </c>
      <c r="N39" s="96" t="s">
        <v>43</v>
      </c>
      <c r="O39" s="101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98" t="s">
        <v>57</v>
      </c>
    </row>
    <row r="40" spans="1:28" ht="12.75">
      <c r="A40" s="78" t="s">
        <v>44</v>
      </c>
      <c r="B40" s="68"/>
      <c r="C40" s="109"/>
      <c r="D40" s="93"/>
      <c r="E40" s="93"/>
      <c r="F40" s="93"/>
      <c r="G40" s="93"/>
      <c r="H40" s="93"/>
      <c r="I40" s="93"/>
      <c r="J40" s="69"/>
      <c r="K40" s="69"/>
      <c r="L40" s="69"/>
      <c r="M40" s="92">
        <f>SUM(M6:M38)</f>
        <v>281.6</v>
      </c>
      <c r="N40" s="92">
        <f>SUM(N6:N38)</f>
        <v>136.53</v>
      </c>
      <c r="O40" s="109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5">
        <f>SUM(AB6:AB38)</f>
        <v>581.05</v>
      </c>
    </row>
    <row r="41" spans="1:28" ht="12.75">
      <c r="A41" s="83"/>
      <c r="B41" s="84"/>
      <c r="C41" s="101"/>
      <c r="D41" s="102"/>
      <c r="E41" s="102"/>
      <c r="F41" s="102"/>
      <c r="G41" s="102"/>
      <c r="H41" s="102"/>
      <c r="I41" s="102"/>
      <c r="J41" s="85"/>
      <c r="K41" s="85"/>
      <c r="L41" s="85"/>
      <c r="M41" s="87"/>
      <c r="N41" s="87"/>
      <c r="O41" s="101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10"/>
    </row>
    <row r="42" spans="1:28" ht="13.5" thickBot="1">
      <c r="A42" s="111"/>
      <c r="B42" s="112"/>
      <c r="C42" s="113"/>
      <c r="D42" s="114"/>
      <c r="E42" s="114"/>
      <c r="F42" s="114"/>
      <c r="G42" s="114"/>
      <c r="H42" s="114"/>
      <c r="I42" s="114"/>
      <c r="J42" s="115"/>
      <c r="K42" s="115"/>
      <c r="L42" s="115"/>
      <c r="M42" s="116"/>
      <c r="N42" s="116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7"/>
    </row>
    <row r="43" spans="1:28" ht="12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118"/>
    </row>
    <row r="44" spans="1:28" ht="12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</row>
    <row r="45" spans="1:28" ht="12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  <row r="46" spans="1:28" ht="12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ht="12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28" ht="12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</row>
    <row r="49" spans="1:28" ht="12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ht="12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28" ht="12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1:28" ht="12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28" ht="12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</row>
    <row r="54" spans="1:28" ht="12" customHeight="1">
      <c r="A54" s="119"/>
      <c r="B54" s="120"/>
      <c r="C54" s="120"/>
      <c r="D54" s="120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28" ht="12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</row>
    <row r="56" spans="1:28" ht="12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</row>
    <row r="58" ht="12.75">
      <c r="AC58" s="2"/>
    </row>
    <row r="60" ht="12.75">
      <c r="AC60" s="2"/>
    </row>
    <row r="62" ht="12.75">
      <c r="AC62" s="2"/>
    </row>
  </sheetData>
  <sheetProtection/>
  <mergeCells count="4">
    <mergeCell ref="A3:A4"/>
    <mergeCell ref="B3:B4"/>
    <mergeCell ref="E3:J4"/>
    <mergeCell ref="Q3:Z4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D21" sqref="D21:J21"/>
    </sheetView>
  </sheetViews>
  <sheetFormatPr defaultColWidth="9.50390625" defaultRowHeight="16.5" customHeight="1"/>
  <cols>
    <col min="1" max="1" width="9.50390625" style="14" customWidth="1"/>
    <col min="2" max="2" width="8.625" style="14" customWidth="1"/>
    <col min="3" max="3" width="4.125" style="14" customWidth="1"/>
    <col min="4" max="4" width="9.75390625" style="14" customWidth="1"/>
    <col min="5" max="5" width="4.125" style="14" customWidth="1"/>
    <col min="6" max="6" width="7.625" style="14" customWidth="1"/>
    <col min="7" max="7" width="6.00390625" style="14" customWidth="1"/>
    <col min="8" max="8" width="7.625" style="14" customWidth="1"/>
    <col min="9" max="9" width="4.125" style="14" customWidth="1"/>
    <col min="10" max="10" width="8.625" style="14" customWidth="1"/>
    <col min="11" max="11" width="6.00390625" style="14" customWidth="1"/>
    <col min="12" max="12" width="7.625" style="14" customWidth="1"/>
    <col min="13" max="13" width="4.125" style="14" customWidth="1"/>
    <col min="14" max="14" width="7.625" style="14" customWidth="1"/>
    <col min="15" max="15" width="4.125" style="14" customWidth="1"/>
    <col min="16" max="16" width="7.625" style="14" customWidth="1"/>
    <col min="17" max="17" width="4.125" style="14" customWidth="1"/>
    <col min="18" max="18" width="7.625" style="14" customWidth="1"/>
    <col min="19" max="19" width="4.125" style="14" customWidth="1"/>
    <col min="20" max="20" width="7.625" style="14" customWidth="1"/>
    <col min="21" max="21" width="4.125" style="14" customWidth="1"/>
    <col min="22" max="24" width="9.50390625" style="14" customWidth="1"/>
    <col min="25" max="25" width="5.875" style="14" customWidth="1"/>
    <col min="26" max="16384" width="9.50390625" style="14" customWidth="1"/>
  </cols>
  <sheetData>
    <row r="1" spans="1:18" ht="16.5" customHeight="1">
      <c r="A1" s="17" t="s">
        <v>95</v>
      </c>
      <c r="R1" s="20"/>
    </row>
    <row r="2" ht="16.5" customHeight="1">
      <c r="A2" s="11"/>
    </row>
    <row r="3" spans="1:19" ht="16.5" customHeight="1">
      <c r="A3" s="261" t="s">
        <v>96</v>
      </c>
      <c r="B3" s="143" t="s">
        <v>97</v>
      </c>
      <c r="C3" s="259" t="s">
        <v>16</v>
      </c>
      <c r="D3" s="145">
        <f>'洪水1-2 (2)'!AB40</f>
        <v>581.05</v>
      </c>
      <c r="E3" s="259" t="s">
        <v>16</v>
      </c>
      <c r="F3" s="259">
        <f>D3/D4</f>
        <v>2.06</v>
      </c>
      <c r="G3" s="253" t="s">
        <v>17</v>
      </c>
      <c r="H3" s="119"/>
      <c r="I3" s="119"/>
      <c r="J3" s="119"/>
      <c r="K3" s="119"/>
      <c r="S3" s="20"/>
    </row>
    <row r="4" spans="1:19" ht="16.5" customHeight="1">
      <c r="A4" s="261"/>
      <c r="B4" s="147" t="s">
        <v>98</v>
      </c>
      <c r="C4" s="259"/>
      <c r="D4" s="148">
        <f>'洪水1-2 (2)'!M40</f>
        <v>281.6</v>
      </c>
      <c r="E4" s="259"/>
      <c r="F4" s="259"/>
      <c r="G4" s="253"/>
      <c r="H4" s="119"/>
      <c r="I4" s="119"/>
      <c r="J4" s="119"/>
      <c r="K4" s="119"/>
      <c r="S4" s="20"/>
    </row>
    <row r="5" spans="1:26" ht="16.5" customHeight="1">
      <c r="A5" s="11"/>
      <c r="B5" s="119"/>
      <c r="C5" s="119"/>
      <c r="D5" s="119"/>
      <c r="E5" s="119"/>
      <c r="F5" s="119"/>
      <c r="G5" s="119"/>
      <c r="H5" s="119"/>
      <c r="I5" s="119"/>
      <c r="J5" s="119"/>
      <c r="K5" s="119"/>
      <c r="X5" s="20"/>
      <c r="Y5" s="19"/>
      <c r="Z5" s="19"/>
    </row>
    <row r="6" spans="1:25" ht="16.5" customHeight="1">
      <c r="A6" s="11"/>
      <c r="B6" s="146">
        <v>0</v>
      </c>
      <c r="C6" s="153" t="s">
        <v>99</v>
      </c>
      <c r="D6" s="165" t="s">
        <v>100</v>
      </c>
      <c r="E6" s="153" t="s">
        <v>99</v>
      </c>
      <c r="F6" s="152" t="s">
        <v>101</v>
      </c>
      <c r="G6" s="119"/>
      <c r="H6" s="119"/>
      <c r="I6" s="119"/>
      <c r="J6" s="119"/>
      <c r="K6" s="119"/>
      <c r="Y6" s="140"/>
    </row>
    <row r="7" spans="1:18" ht="16.5" customHeight="1">
      <c r="A7" s="11"/>
      <c r="B7" s="146"/>
      <c r="C7" s="153"/>
      <c r="D7" s="165"/>
      <c r="E7" s="153"/>
      <c r="F7" s="152"/>
      <c r="G7" s="119"/>
      <c r="H7" s="119"/>
      <c r="I7" s="144"/>
      <c r="J7" s="152"/>
      <c r="K7" s="144"/>
      <c r="L7" s="139"/>
      <c r="M7" s="136"/>
      <c r="O7" s="136"/>
      <c r="P7" s="137"/>
      <c r="Q7" s="63"/>
      <c r="R7" s="63"/>
    </row>
    <row r="8" spans="1:18" ht="16.5" customHeight="1">
      <c r="A8" s="11"/>
      <c r="B8" s="146">
        <v>0</v>
      </c>
      <c r="C8" s="153" t="str">
        <f>IF(B8&lt;=D8,"≦","＞")</f>
        <v>≦</v>
      </c>
      <c r="D8" s="144">
        <f>F3</f>
        <v>2.06</v>
      </c>
      <c r="E8" s="153" t="str">
        <f>IF(D8&lt;=F8,"≦","＞")</f>
        <v>≦</v>
      </c>
      <c r="F8" s="152">
        <f>'洪水1-1 (2)'!F37</f>
        <v>3</v>
      </c>
      <c r="G8" s="146" t="str">
        <f>IF(AND(B8&lt;=D8,D8&lt;=F8),"OK","OUT")</f>
        <v>OK</v>
      </c>
      <c r="H8" s="146"/>
      <c r="I8" s="146"/>
      <c r="J8" s="119"/>
      <c r="K8" s="119"/>
      <c r="M8" s="136"/>
      <c r="O8" s="136"/>
      <c r="P8" s="137"/>
      <c r="Q8" s="63"/>
      <c r="R8" s="63"/>
    </row>
    <row r="9" spans="1:18" ht="16.5" customHeight="1">
      <c r="A9" s="11"/>
      <c r="C9" s="138"/>
      <c r="D9" s="138"/>
      <c r="E9" s="138"/>
      <c r="I9" s="136"/>
      <c r="J9" s="137"/>
      <c r="K9" s="136"/>
      <c r="L9" s="139"/>
      <c r="M9" s="136"/>
      <c r="O9" s="136"/>
      <c r="P9" s="137"/>
      <c r="Q9" s="63"/>
      <c r="R9" s="63"/>
    </row>
    <row r="10" spans="1:18" ht="16.5" customHeight="1">
      <c r="A10" s="11"/>
      <c r="C10" s="15" t="s">
        <v>102</v>
      </c>
      <c r="D10" s="17" t="s">
        <v>103</v>
      </c>
      <c r="O10" s="136"/>
      <c r="P10" s="137"/>
      <c r="Q10" s="63"/>
      <c r="R10" s="63"/>
    </row>
    <row r="11" spans="3:4" ht="16.5" customHeight="1">
      <c r="C11" s="15" t="s">
        <v>104</v>
      </c>
      <c r="D11" s="17" t="s">
        <v>61</v>
      </c>
    </row>
    <row r="12" spans="1:18" ht="16.5" customHeight="1">
      <c r="A12" s="11"/>
      <c r="C12" s="15" t="s">
        <v>105</v>
      </c>
      <c r="D12" s="17" t="s">
        <v>106</v>
      </c>
      <c r="O12" s="136"/>
      <c r="P12" s="137"/>
      <c r="Q12" s="63"/>
      <c r="R12" s="63"/>
    </row>
    <row r="13" spans="3:18" ht="16.5" customHeight="1">
      <c r="C13" s="15" t="s">
        <v>107</v>
      </c>
      <c r="D13" s="17" t="s">
        <v>108</v>
      </c>
      <c r="O13" s="136"/>
      <c r="P13" s="137"/>
      <c r="Q13" s="63"/>
      <c r="R13" s="63"/>
    </row>
    <row r="14" ht="16.5" customHeight="1">
      <c r="A14" s="11"/>
    </row>
    <row r="15" ht="16.5" customHeight="1">
      <c r="A15" s="141" t="s">
        <v>109</v>
      </c>
    </row>
    <row r="16" ht="16.5" customHeight="1">
      <c r="A16" s="11"/>
    </row>
    <row r="17" spans="2:10" ht="16.5" customHeight="1">
      <c r="B17" s="261" t="s">
        <v>110</v>
      </c>
      <c r="C17" s="263" t="s">
        <v>111</v>
      </c>
      <c r="D17" s="149" t="s">
        <v>112</v>
      </c>
      <c r="E17" s="149" t="s">
        <v>113</v>
      </c>
      <c r="F17" s="149" t="s">
        <v>114</v>
      </c>
      <c r="G17" s="149" t="s">
        <v>115</v>
      </c>
      <c r="H17" s="149" t="s">
        <v>116</v>
      </c>
      <c r="I17" s="149" t="s">
        <v>113</v>
      </c>
      <c r="J17" s="149" t="s">
        <v>118</v>
      </c>
    </row>
    <row r="18" spans="2:20" ht="16.5" customHeight="1">
      <c r="B18" s="261"/>
      <c r="C18" s="263"/>
      <c r="D18" s="260" t="s">
        <v>119</v>
      </c>
      <c r="E18" s="260"/>
      <c r="F18" s="260"/>
      <c r="G18" s="260"/>
      <c r="H18" s="260"/>
      <c r="I18" s="260"/>
      <c r="J18" s="260"/>
      <c r="S18" s="15"/>
      <c r="T18" s="20"/>
    </row>
    <row r="19" spans="1:10" ht="16.5" customHeight="1">
      <c r="A19" s="135"/>
      <c r="B19" s="19"/>
      <c r="C19" s="19"/>
      <c r="D19" s="154"/>
      <c r="E19" s="119"/>
      <c r="F19" s="119"/>
      <c r="G19" s="119"/>
      <c r="H19" s="119"/>
      <c r="I19" s="119"/>
      <c r="J19" s="119"/>
    </row>
    <row r="20" spans="1:10" ht="16.5" customHeight="1">
      <c r="A20" s="135"/>
      <c r="B20" s="261"/>
      <c r="C20" s="263" t="s">
        <v>111</v>
      </c>
      <c r="D20" s="151">
        <f>'洪水1-1 (2)'!K46</f>
        <v>0.7</v>
      </c>
      <c r="E20" s="149" t="s">
        <v>113</v>
      </c>
      <c r="F20" s="151">
        <f>D4</f>
        <v>281.6</v>
      </c>
      <c r="G20" s="149" t="s">
        <v>115</v>
      </c>
      <c r="H20" s="155">
        <f>'洪水1-1 (2)'!K48</f>
        <v>330</v>
      </c>
      <c r="I20" s="149" t="s">
        <v>113</v>
      </c>
      <c r="J20" s="151">
        <f>H35</f>
        <v>3</v>
      </c>
    </row>
    <row r="21" spans="1:10" ht="16.5" customHeight="1">
      <c r="A21" s="135"/>
      <c r="B21" s="261"/>
      <c r="C21" s="263"/>
      <c r="D21" s="264">
        <f>'洪水1-2 (2)'!N40</f>
        <v>136.53</v>
      </c>
      <c r="E21" s="264"/>
      <c r="F21" s="264"/>
      <c r="G21" s="264"/>
      <c r="H21" s="264"/>
      <c r="I21" s="264"/>
      <c r="J21" s="264"/>
    </row>
    <row r="22" spans="1:10" ht="16.5" customHeight="1">
      <c r="A22" s="135"/>
      <c r="B22" s="19"/>
      <c r="C22" s="19"/>
      <c r="D22" s="154"/>
      <c r="E22" s="119"/>
      <c r="F22" s="119"/>
      <c r="G22" s="119"/>
      <c r="H22" s="119"/>
      <c r="I22" s="119"/>
      <c r="J22" s="119"/>
    </row>
    <row r="23" spans="1:10" ht="16.5" customHeight="1">
      <c r="A23" s="135"/>
      <c r="B23" s="19"/>
      <c r="C23" s="14" t="s">
        <v>111</v>
      </c>
      <c r="D23" s="158">
        <f>ROUNDDOWN((D20*F20+H20*J20)/D21,2)</f>
        <v>8.69</v>
      </c>
      <c r="E23" s="154" t="str">
        <f>IF(D23&gt;=F23,"≧","＜")</f>
        <v>≧</v>
      </c>
      <c r="F23" s="156">
        <f>'洪水1-1 (2)'!K45</f>
        <v>4</v>
      </c>
      <c r="G23" s="119"/>
      <c r="H23" s="119" t="str">
        <f>IF(D23&lt;F23,"OUT","OK")</f>
        <v>OK</v>
      </c>
      <c r="I23" s="119"/>
      <c r="J23" s="119"/>
    </row>
    <row r="24" spans="3:4" ht="16.5" customHeight="1">
      <c r="C24" s="63"/>
      <c r="D24" s="63"/>
    </row>
    <row r="25" spans="3:4" ht="16.5" customHeight="1">
      <c r="C25" s="18" t="s">
        <v>123</v>
      </c>
      <c r="D25" s="134" t="s">
        <v>124</v>
      </c>
    </row>
    <row r="26" spans="1:4" ht="16.5" customHeight="1">
      <c r="A26" s="138"/>
      <c r="B26" s="63"/>
      <c r="C26" s="18" t="s">
        <v>125</v>
      </c>
      <c r="D26" s="134" t="s">
        <v>12</v>
      </c>
    </row>
    <row r="27" spans="3:18" ht="16.5" customHeight="1">
      <c r="C27" s="15" t="s">
        <v>107</v>
      </c>
      <c r="D27" s="17" t="s">
        <v>108</v>
      </c>
      <c r="O27" s="136"/>
      <c r="P27" s="137"/>
      <c r="Q27" s="63"/>
      <c r="R27" s="63"/>
    </row>
    <row r="28" spans="3:18" ht="16.5" customHeight="1">
      <c r="C28" s="15" t="s">
        <v>127</v>
      </c>
      <c r="D28" s="17" t="s">
        <v>128</v>
      </c>
      <c r="O28" s="136"/>
      <c r="P28" s="137"/>
      <c r="Q28" s="63"/>
      <c r="R28" s="63"/>
    </row>
    <row r="29" spans="3:4" ht="16.5" customHeight="1">
      <c r="C29" s="18" t="s">
        <v>129</v>
      </c>
      <c r="D29" s="134" t="s">
        <v>130</v>
      </c>
    </row>
    <row r="30" spans="3:4" ht="16.5" customHeight="1">
      <c r="C30" s="18"/>
      <c r="D30" s="134" t="s">
        <v>131</v>
      </c>
    </row>
    <row r="31" spans="1:4" ht="16.5" customHeight="1">
      <c r="A31" s="11"/>
      <c r="C31" s="18" t="s">
        <v>132</v>
      </c>
      <c r="D31" s="134" t="s">
        <v>133</v>
      </c>
    </row>
    <row r="32" spans="1:5" ht="16.5" customHeight="1">
      <c r="A32" s="11"/>
      <c r="D32" s="18"/>
      <c r="E32" s="134"/>
    </row>
    <row r="33" spans="1:21" ht="16.5" customHeight="1">
      <c r="A33" s="141" t="s">
        <v>88</v>
      </c>
      <c r="U33" s="20"/>
    </row>
    <row r="34" spans="1:21" ht="16.5" customHeight="1">
      <c r="A34" s="141"/>
      <c r="U34" s="20"/>
    </row>
    <row r="35" spans="1:18" ht="16.5" customHeight="1">
      <c r="A35" s="261" t="s">
        <v>19</v>
      </c>
      <c r="B35" s="265" t="s">
        <v>134</v>
      </c>
      <c r="C35" s="253" t="s">
        <v>20</v>
      </c>
      <c r="D35" s="149" t="s">
        <v>135</v>
      </c>
      <c r="E35" s="259" t="s">
        <v>16</v>
      </c>
      <c r="F35" s="254">
        <f>F3</f>
        <v>2.06</v>
      </c>
      <c r="G35" s="253" t="s">
        <v>20</v>
      </c>
      <c r="H35" s="151">
        <f>'洪水1-1 (2)'!F37</f>
        <v>3</v>
      </c>
      <c r="I35" s="259" t="s">
        <v>16</v>
      </c>
      <c r="J35" s="254">
        <f>F35-H35/H36</f>
        <v>0.56</v>
      </c>
      <c r="K35" s="253" t="s">
        <v>17</v>
      </c>
      <c r="O35" s="136"/>
      <c r="P35" s="137"/>
      <c r="Q35" s="63"/>
      <c r="R35" s="63"/>
    </row>
    <row r="36" spans="1:18" ht="16.5" customHeight="1">
      <c r="A36" s="261"/>
      <c r="B36" s="265"/>
      <c r="C36" s="253"/>
      <c r="D36" s="119">
        <v>2</v>
      </c>
      <c r="E36" s="259"/>
      <c r="F36" s="254"/>
      <c r="G36" s="253"/>
      <c r="H36" s="119">
        <v>2</v>
      </c>
      <c r="I36" s="259"/>
      <c r="J36" s="254"/>
      <c r="K36" s="253"/>
      <c r="O36" s="136"/>
      <c r="P36" s="137"/>
      <c r="Q36" s="63"/>
      <c r="R36" s="63"/>
    </row>
    <row r="37" spans="1:9" ht="16.5" customHeight="1">
      <c r="A37" s="11"/>
      <c r="I37" s="18"/>
    </row>
    <row r="38" spans="1:16" ht="16.5" customHeight="1">
      <c r="A38" s="257" t="s">
        <v>136</v>
      </c>
      <c r="B38" s="143" t="s">
        <v>114</v>
      </c>
      <c r="C38" s="253" t="s">
        <v>22</v>
      </c>
      <c r="D38" s="253">
        <v>1</v>
      </c>
      <c r="E38" s="253" t="s">
        <v>138</v>
      </c>
      <c r="F38" s="149">
        <v>6</v>
      </c>
      <c r="G38" s="149" t="s">
        <v>24</v>
      </c>
      <c r="H38" s="149" t="s">
        <v>25</v>
      </c>
      <c r="I38" s="253" t="s">
        <v>26</v>
      </c>
      <c r="J38" s="119"/>
      <c r="P38" s="59"/>
    </row>
    <row r="39" spans="1:16" ht="16.5" customHeight="1">
      <c r="A39" s="257"/>
      <c r="B39" s="154" t="s">
        <v>135</v>
      </c>
      <c r="C39" s="253"/>
      <c r="D39" s="253"/>
      <c r="E39" s="253"/>
      <c r="F39" s="258" t="s">
        <v>135</v>
      </c>
      <c r="G39" s="258"/>
      <c r="H39" s="258"/>
      <c r="I39" s="253"/>
      <c r="J39" s="119"/>
      <c r="P39" s="59"/>
    </row>
    <row r="40" spans="1:16" ht="16.5" customHeight="1">
      <c r="A40" s="11"/>
      <c r="B40" s="119"/>
      <c r="C40" s="119"/>
      <c r="D40" s="119"/>
      <c r="E40" s="119"/>
      <c r="F40" s="119"/>
      <c r="G40" s="119"/>
      <c r="H40" s="119"/>
      <c r="I40" s="119"/>
      <c r="J40" s="119"/>
      <c r="P40" s="59"/>
    </row>
    <row r="41" spans="1:16" ht="16.5" customHeight="1">
      <c r="A41" s="262" t="s">
        <v>140</v>
      </c>
      <c r="B41" s="145">
        <f>B47</f>
        <v>281.6</v>
      </c>
      <c r="C41" s="253" t="s">
        <v>22</v>
      </c>
      <c r="D41" s="253">
        <v>1</v>
      </c>
      <c r="E41" s="253" t="s">
        <v>138</v>
      </c>
      <c r="F41" s="149">
        <v>6</v>
      </c>
      <c r="G41" s="149" t="s">
        <v>24</v>
      </c>
      <c r="H41" s="151">
        <f>H47</f>
        <v>0.56</v>
      </c>
      <c r="I41" s="253" t="s">
        <v>27</v>
      </c>
      <c r="J41" s="254">
        <f>B41/B42*(D41-F41*H41/F42)</f>
        <v>-11.26</v>
      </c>
      <c r="K41" s="255" t="s">
        <v>141</v>
      </c>
      <c r="L41" s="255"/>
      <c r="P41" s="59"/>
    </row>
    <row r="42" spans="1:16" ht="16.5" customHeight="1">
      <c r="A42" s="262"/>
      <c r="B42" s="157">
        <f>H35</f>
        <v>3</v>
      </c>
      <c r="C42" s="253"/>
      <c r="D42" s="253"/>
      <c r="E42" s="253"/>
      <c r="F42" s="256">
        <f>B42</f>
        <v>3</v>
      </c>
      <c r="G42" s="256"/>
      <c r="H42" s="256"/>
      <c r="I42" s="253"/>
      <c r="J42" s="254"/>
      <c r="K42" s="255"/>
      <c r="L42" s="255"/>
      <c r="P42" s="59"/>
    </row>
    <row r="43" spans="1:16" ht="16.5" customHeight="1">
      <c r="A43" s="18"/>
      <c r="B43" s="157"/>
      <c r="C43" s="146"/>
      <c r="D43" s="146"/>
      <c r="E43" s="146"/>
      <c r="F43" s="158"/>
      <c r="G43" s="158"/>
      <c r="H43" s="158"/>
      <c r="I43" s="146"/>
      <c r="J43" s="150"/>
      <c r="K43" s="63"/>
      <c r="L43" s="131"/>
      <c r="P43" s="59"/>
    </row>
    <row r="44" spans="1:10" ht="16.5" customHeight="1">
      <c r="A44" s="257" t="s">
        <v>142</v>
      </c>
      <c r="B44" s="143" t="s">
        <v>114</v>
      </c>
      <c r="C44" s="253" t="s">
        <v>22</v>
      </c>
      <c r="D44" s="253">
        <v>1</v>
      </c>
      <c r="E44" s="253" t="s">
        <v>23</v>
      </c>
      <c r="F44" s="149">
        <v>6</v>
      </c>
      <c r="G44" s="149" t="s">
        <v>24</v>
      </c>
      <c r="H44" s="149" t="s">
        <v>25</v>
      </c>
      <c r="I44" s="253" t="s">
        <v>26</v>
      </c>
      <c r="J44" s="119"/>
    </row>
    <row r="45" spans="1:10" ht="16.5" customHeight="1">
      <c r="A45" s="257"/>
      <c r="B45" s="154" t="s">
        <v>135</v>
      </c>
      <c r="C45" s="253"/>
      <c r="D45" s="253"/>
      <c r="E45" s="253"/>
      <c r="F45" s="258" t="s">
        <v>135</v>
      </c>
      <c r="G45" s="258"/>
      <c r="H45" s="258"/>
      <c r="I45" s="253"/>
      <c r="J45" s="119"/>
    </row>
    <row r="46" spans="1:10" ht="16.5" customHeight="1">
      <c r="A46" s="11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2" ht="16.5" customHeight="1">
      <c r="A47" s="262" t="s">
        <v>140</v>
      </c>
      <c r="B47" s="145">
        <f>D4</f>
        <v>281.6</v>
      </c>
      <c r="C47" s="253" t="s">
        <v>22</v>
      </c>
      <c r="D47" s="253">
        <v>1</v>
      </c>
      <c r="E47" s="253" t="s">
        <v>23</v>
      </c>
      <c r="F47" s="149">
        <v>6</v>
      </c>
      <c r="G47" s="149" t="s">
        <v>24</v>
      </c>
      <c r="H47" s="151">
        <f>J35</f>
        <v>0.56</v>
      </c>
      <c r="I47" s="253" t="s">
        <v>27</v>
      </c>
      <c r="J47" s="254">
        <f>B47/B48*(D47+F47*H47/F48)</f>
        <v>199</v>
      </c>
      <c r="K47" s="255" t="s">
        <v>141</v>
      </c>
      <c r="L47" s="255"/>
    </row>
    <row r="48" spans="1:12" ht="16.5" customHeight="1">
      <c r="A48" s="262"/>
      <c r="B48" s="159">
        <f>B42</f>
        <v>3</v>
      </c>
      <c r="C48" s="253"/>
      <c r="D48" s="253"/>
      <c r="E48" s="253"/>
      <c r="F48" s="256">
        <f>B48</f>
        <v>3</v>
      </c>
      <c r="G48" s="256"/>
      <c r="H48" s="256"/>
      <c r="I48" s="253"/>
      <c r="J48" s="254"/>
      <c r="K48" s="255"/>
      <c r="L48" s="255"/>
    </row>
    <row r="49" spans="1:12" ht="16.5" customHeight="1">
      <c r="A49" s="18"/>
      <c r="B49" s="133"/>
      <c r="C49" s="63"/>
      <c r="D49" s="63"/>
      <c r="E49" s="63"/>
      <c r="G49" s="59"/>
      <c r="H49" s="59"/>
      <c r="I49" s="63"/>
      <c r="J49" s="132"/>
      <c r="K49" s="63"/>
      <c r="L49" s="131"/>
    </row>
    <row r="50" spans="1:12" ht="16.5" customHeight="1">
      <c r="A50" s="18"/>
      <c r="C50" s="18" t="s">
        <v>146</v>
      </c>
      <c r="D50" s="134" t="s">
        <v>147</v>
      </c>
      <c r="G50" s="63"/>
      <c r="I50" s="63"/>
      <c r="J50" s="132"/>
      <c r="K50" s="63"/>
      <c r="L50" s="131"/>
    </row>
    <row r="51" spans="1:12" ht="16.5" customHeight="1">
      <c r="A51" s="18"/>
      <c r="B51" s="63"/>
      <c r="C51" s="18" t="s">
        <v>148</v>
      </c>
      <c r="D51" s="134" t="s">
        <v>149</v>
      </c>
      <c r="G51" s="63"/>
      <c r="I51" s="63"/>
      <c r="J51" s="132"/>
      <c r="K51" s="63"/>
      <c r="L51" s="131"/>
    </row>
    <row r="52" spans="1:12" ht="16.5" customHeight="1">
      <c r="A52" s="18"/>
      <c r="C52" s="18" t="s">
        <v>21</v>
      </c>
      <c r="D52" s="16" t="s">
        <v>150</v>
      </c>
      <c r="I52" s="63"/>
      <c r="J52" s="132"/>
      <c r="K52" s="63"/>
      <c r="L52" s="131"/>
    </row>
    <row r="53" spans="1:12" ht="16.5" customHeight="1">
      <c r="A53" s="18"/>
      <c r="B53" s="133"/>
      <c r="C53" s="63"/>
      <c r="D53" s="63"/>
      <c r="E53" s="63"/>
      <c r="G53" s="59"/>
      <c r="H53" s="59"/>
      <c r="I53" s="63"/>
      <c r="J53" s="132"/>
      <c r="K53" s="63"/>
      <c r="L53" s="131"/>
    </row>
    <row r="54" spans="1:12" ht="16.5" customHeight="1">
      <c r="A54" s="18"/>
      <c r="B54" s="142" t="s">
        <v>151</v>
      </c>
      <c r="C54" s="63" t="s">
        <v>152</v>
      </c>
      <c r="D54" s="137">
        <f>J47</f>
        <v>199</v>
      </c>
      <c r="E54" s="154" t="str">
        <f>IF(D54&gt;=G54,"＞","≦")</f>
        <v>≦</v>
      </c>
      <c r="F54" s="142" t="s">
        <v>153</v>
      </c>
      <c r="G54" s="160">
        <f>'洪水1-1 (2)'!K44</f>
        <v>1180</v>
      </c>
      <c r="H54" s="119" t="s">
        <v>141</v>
      </c>
      <c r="I54" s="119" t="str">
        <f>IF(G54&lt;D54,"OUT","OK")</f>
        <v>OK</v>
      </c>
      <c r="J54" s="16" t="s">
        <v>154</v>
      </c>
      <c r="K54" s="63"/>
      <c r="L54" s="131"/>
    </row>
    <row r="55" spans="1:12" ht="16.5" customHeight="1">
      <c r="A55" s="18"/>
      <c r="B55" s="133"/>
      <c r="C55" s="63"/>
      <c r="D55" s="63"/>
      <c r="E55" s="63"/>
      <c r="G55" s="59"/>
      <c r="H55" s="59"/>
      <c r="I55" s="63"/>
      <c r="J55" s="166"/>
      <c r="K55" s="63"/>
      <c r="L55" s="131"/>
    </row>
    <row r="56" spans="1:12" ht="16.5" customHeight="1">
      <c r="A56" s="18"/>
      <c r="B56" s="142" t="s">
        <v>151</v>
      </c>
      <c r="C56" s="63" t="s">
        <v>152</v>
      </c>
      <c r="D56" s="137">
        <f>J47</f>
        <v>199</v>
      </c>
      <c r="E56" s="154" t="str">
        <f>IF(D56&gt;=G56,"＞","≦")</f>
        <v>≦</v>
      </c>
      <c r="F56" s="142" t="s">
        <v>155</v>
      </c>
      <c r="G56" s="160">
        <f>'洪水1-1 (2)'!K49</f>
        <v>4500</v>
      </c>
      <c r="H56" s="119" t="s">
        <v>141</v>
      </c>
      <c r="I56" s="119" t="str">
        <f>IF(G56&lt;D56,"OUT","OK")</f>
        <v>OK</v>
      </c>
      <c r="J56" s="166" t="s">
        <v>156</v>
      </c>
      <c r="K56" s="63"/>
      <c r="L56" s="131"/>
    </row>
    <row r="57" spans="1:12" ht="16.5" customHeight="1">
      <c r="A57" s="18"/>
      <c r="B57" s="133"/>
      <c r="C57" s="63"/>
      <c r="D57" s="63"/>
      <c r="E57" s="63"/>
      <c r="G57" s="59"/>
      <c r="H57" s="59"/>
      <c r="I57" s="63"/>
      <c r="J57" s="166"/>
      <c r="K57" s="63"/>
      <c r="L57" s="131"/>
    </row>
    <row r="58" spans="1:12" ht="16.5" customHeight="1">
      <c r="A58" s="18"/>
      <c r="B58" s="142" t="s">
        <v>157</v>
      </c>
      <c r="C58" s="63" t="s">
        <v>152</v>
      </c>
      <c r="D58" s="137">
        <f>J41</f>
        <v>-11.26</v>
      </c>
      <c r="E58" s="154" t="str">
        <f>IF(D58&lt;=G58,"＜","≧")</f>
        <v>＜</v>
      </c>
      <c r="F58" s="142"/>
      <c r="G58" s="160">
        <v>0</v>
      </c>
      <c r="H58" s="119" t="s">
        <v>141</v>
      </c>
      <c r="I58" s="119" t="str">
        <f>IF(G58&lt;D58,"OK","OUT")</f>
        <v>OUT</v>
      </c>
      <c r="J58" s="166" t="s">
        <v>156</v>
      </c>
      <c r="K58" s="63"/>
      <c r="L58" s="131"/>
    </row>
  </sheetData>
  <sheetProtection/>
  <mergeCells count="48">
    <mergeCell ref="A3:A4"/>
    <mergeCell ref="C3:C4"/>
    <mergeCell ref="E3:E4"/>
    <mergeCell ref="F3:F4"/>
    <mergeCell ref="G3:G4"/>
    <mergeCell ref="B17:B18"/>
    <mergeCell ref="C17:C18"/>
    <mergeCell ref="D18:J18"/>
    <mergeCell ref="B20:B21"/>
    <mergeCell ref="C20:C21"/>
    <mergeCell ref="D21:J21"/>
    <mergeCell ref="A35:A36"/>
    <mergeCell ref="B35:B36"/>
    <mergeCell ref="C35:C36"/>
    <mergeCell ref="E35:E36"/>
    <mergeCell ref="F35:F36"/>
    <mergeCell ref="G35:G36"/>
    <mergeCell ref="I35:I36"/>
    <mergeCell ref="A38:A39"/>
    <mergeCell ref="C38:C39"/>
    <mergeCell ref="D38:D39"/>
    <mergeCell ref="E38:E39"/>
    <mergeCell ref="I38:I39"/>
    <mergeCell ref="F39:H39"/>
    <mergeCell ref="D41:D42"/>
    <mergeCell ref="E41:E42"/>
    <mergeCell ref="I41:I42"/>
    <mergeCell ref="J41:J42"/>
    <mergeCell ref="J35:J36"/>
    <mergeCell ref="K35:K36"/>
    <mergeCell ref="K41:L42"/>
    <mergeCell ref="F42:H42"/>
    <mergeCell ref="A44:A45"/>
    <mergeCell ref="C44:C45"/>
    <mergeCell ref="D44:D45"/>
    <mergeCell ref="E44:E45"/>
    <mergeCell ref="I44:I45"/>
    <mergeCell ref="F45:H45"/>
    <mergeCell ref="A41:A42"/>
    <mergeCell ref="C41:C42"/>
    <mergeCell ref="K47:L48"/>
    <mergeCell ref="F48:H48"/>
    <mergeCell ref="A47:A48"/>
    <mergeCell ref="C47:C48"/>
    <mergeCell ref="D47:D48"/>
    <mergeCell ref="E47:E48"/>
    <mergeCell ref="I47:I48"/>
    <mergeCell ref="J47:J48"/>
  </mergeCells>
  <printOptions/>
  <pageMargins left="1.1811023622047245" right="0.1968503937007874" top="0.984251968503937" bottom="0.5905511811023623" header="0.5118110236220472" footer="0.5118110236220472"/>
  <pageSetup horizontalDpi="600" verticalDpi="600" orientation="portrait" paperSize="9" r:id="rId1"/>
  <rowBreaks count="2" manualBreakCount="2">
    <brk id="14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noguchi</cp:lastModifiedBy>
  <cp:lastPrinted>2017-11-28T06:23:55Z</cp:lastPrinted>
  <dcterms:created xsi:type="dcterms:W3CDTF">2000-09-22T10:22:50Z</dcterms:created>
  <dcterms:modified xsi:type="dcterms:W3CDTF">2018-01-27T02:23:42Z</dcterms:modified>
  <cp:category/>
  <cp:version/>
  <cp:contentType/>
  <cp:contentStatus/>
</cp:coreProperties>
</file>